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992221\Desktop\Models\"/>
    </mc:Choice>
  </mc:AlternateContent>
  <bookViews>
    <workbookView xWindow="0" yWindow="0" windowWidth="28800" windowHeight="11700" activeTab="1"/>
  </bookViews>
  <sheets>
    <sheet name="Model" sheetId="43" r:id="rId1"/>
    <sheet name="DCF" sheetId="22" r:id="rId2"/>
    <sheet name="_CIQHiddenCacheSheet" sheetId="245" state="veryHidden" r:id="rId3"/>
    <sheet name="Unit Economics" sheetId="253" r:id="rId4"/>
    <sheet name="CashIn&amp;Out" sheetId="25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RAPH1" hidden="1">[1]ROE!#REF!</definedName>
    <definedName name="__FDS_HYPERLINK_TOGGLE_STATE__" hidden="1">"ON"</definedName>
    <definedName name="_Fill" hidden="1">#REF!</definedName>
    <definedName name="_xlnm._FilterDatabase" localSheetId="1" hidden="1">DCF!#REF!</definedName>
    <definedName name="_xlnm._FilterDatabase" localSheetId="0" hidden="1">Model!#REF!</definedName>
    <definedName name="_Key1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IQWBGuid" localSheetId="1" hidden="1">"ddb1e6c7-4c75-49bf-a966-d33940e1cd5a"</definedName>
    <definedName name="CIQWBGuid" localSheetId="0" hidden="1">"93109f73-ce43-46f2-baa0-f90921c844ea"</definedName>
    <definedName name="CIQWBGuid" hidden="1">"ddb1e6c7-4c75-49bf-a966-d33940e1cd5a"</definedName>
    <definedName name="dgf" hidden="1">#REF!</definedName>
    <definedName name="IQ_ADDIN" hidden="1">"AUTO"</definedName>
    <definedName name="IQ_AVG_PRICE_TARGET" hidden="1">"c82"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BV_REUT" hidden="1">"c5409"</definedName>
    <definedName name="IQ_EST_ACT_BV_THOM" hidden="1">"c5153"</definedName>
    <definedName name="IQ_EST_ACT_EPS_PRIMARY" hidden="1">"c2232"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XPENSE_CODE_" hidden="1">"test"</definedName>
    <definedName name="IQ_FH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44052.1032407407</definedName>
    <definedName name="IQ_NAV_ACT_OR_EST" hidden="1">"c2225"</definedName>
    <definedName name="IQ_NTM">6000</definedName>
    <definedName name="IQ_OG_TOTAL_OIL_PRODUCTON" hidden="1">"c2059"</definedName>
    <definedName name="IQ_OPENED55" hidden="1">1</definedName>
    <definedName name="IQ_PRIMARY_EPS_TYPE_THOM" hidden="1">"c5297"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>50000</definedName>
    <definedName name="IQ_YTD">3000</definedName>
    <definedName name="IQ_YTDMONTH" hidden="1">130000</definedName>
    <definedName name="IQRDCF2BS12" hidden="1">[2]Segments!#REF!</definedName>
    <definedName name="IQRDCF2CA12" hidden="1">[2]Segments!#REF!</definedName>
    <definedName name="IQRDCF2X164" hidden="1">[2]Segments!#REF!</definedName>
    <definedName name="IQRDCFAG29" hidden="1">[2]DCF!#REF!</definedName>
    <definedName name="IQRDCFAG30" hidden="1">[2]DCF!#REF!</definedName>
    <definedName name="IQRDCFAG6" hidden="1">[2]DCF!#REF!</definedName>
    <definedName name="IQRDCFAH6" hidden="1">[2]DCF!#REF!</definedName>
    <definedName name="IQRDCFAJ6" hidden="1">[2]DCF!#REF!</definedName>
    <definedName name="IQRDCFBS12" hidden="1">[3]DCF!$BS$13:$BS$124</definedName>
    <definedName name="IQRDCFCA12" hidden="1">[3]DCF!$CA$13:$CA$141</definedName>
    <definedName name="IQRDCFX168" hidden="1">[3]DCF!$X$169</definedName>
    <definedName name="IQRDCFX169" hidden="1">[4]DCF!$X$170</definedName>
    <definedName name="IQRDCFX173" hidden="1">[5]DCF!$X$174</definedName>
    <definedName name="IQRDebtA3" hidden="1">[3]Debt!$A$4:$A$115</definedName>
    <definedName name="IQRM13" hidden="1">"$M$14:$M$133"</definedName>
    <definedName name="IQROwnershipA12" hidden="1">[6]Ownership!$A$13:$A$112</definedName>
    <definedName name="IQROwnershipB12" hidden="1">[6]Ownership!$B$13:$B$112</definedName>
    <definedName name="IQROwnershipJ12" hidden="1">[6]Ownership!$J$13:$J$112</definedName>
    <definedName name="IQROwnershipK12" hidden="1">[6]Ownership!$K$13:$K$112</definedName>
    <definedName name="IQROwnershipM12" hidden="1">[6]Ownership!$M$13:$M$112</definedName>
    <definedName name="IQROwnershipO12" hidden="1">[6]Ownership!$O$13:$O$112</definedName>
    <definedName name="IQRPriceTargetGridBJ2" hidden="1">#REF!</definedName>
    <definedName name="IQRPriceTargetGridBN2" hidden="1">#REF!</definedName>
    <definedName name="IQRPriceTargetGridBP2" hidden="1">#REF!</definedName>
    <definedName name="IQRPriceTargetGridBR2" hidden="1">#REF!</definedName>
    <definedName name="IQRPriceTargetGridG10" hidden="1">#REF!</definedName>
    <definedName name="IQRPriceTargetGridG100" hidden="1">#REF!</definedName>
    <definedName name="IQRPriceTargetGridG101" hidden="1">#REF!</definedName>
    <definedName name="IQRPriceTargetGridG102" hidden="1">#REF!</definedName>
    <definedName name="IQRPriceTargetGridG103" hidden="1">#REF!</definedName>
    <definedName name="IQRPriceTargetGridG104" hidden="1">#REF!</definedName>
    <definedName name="IQRPriceTargetGridG105" hidden="1">#REF!</definedName>
    <definedName name="IQRPriceTargetGridG106" hidden="1">#REF!</definedName>
    <definedName name="IQRPriceTargetGridG107" hidden="1">#REF!</definedName>
    <definedName name="IQRPriceTargetGridG108" hidden="1">#REF!</definedName>
    <definedName name="IQRPriceTargetGridG109" hidden="1">#REF!</definedName>
    <definedName name="IQRPriceTargetGridG11" hidden="1">#REF!</definedName>
    <definedName name="IQRPriceTargetGridG110" hidden="1">#REF!</definedName>
    <definedName name="IQRPriceTargetGridG111" hidden="1">#REF!</definedName>
    <definedName name="IQRPriceTargetGridG112" hidden="1">#REF!</definedName>
    <definedName name="IQRPriceTargetGridG113" hidden="1">#REF!</definedName>
    <definedName name="IQRPriceTargetGridG114" hidden="1">#REF!</definedName>
    <definedName name="IQRPriceTargetGridG115" hidden="1">#REF!</definedName>
    <definedName name="IQRPriceTargetGridG116" hidden="1">#REF!</definedName>
    <definedName name="IQRPriceTargetGridG117" hidden="1">#REF!</definedName>
    <definedName name="IQRPriceTargetGridG118" hidden="1">#REF!</definedName>
    <definedName name="IQRPriceTargetGridG119" hidden="1">#REF!</definedName>
    <definedName name="IQRPriceTargetGridG12" hidden="1">#REF!</definedName>
    <definedName name="IQRPriceTargetGridG120" hidden="1">#REF!</definedName>
    <definedName name="IQRPriceTargetGridG121" hidden="1">#REF!</definedName>
    <definedName name="IQRPriceTargetGridG122" hidden="1">#REF!</definedName>
    <definedName name="IQRPriceTargetGridG123" hidden="1">#REF!</definedName>
    <definedName name="IQRPriceTargetGridG124" hidden="1">#REF!</definedName>
    <definedName name="IQRPriceTargetGridG13" hidden="1">#REF!</definedName>
    <definedName name="IQRPriceTargetGridG14" hidden="1">#REF!</definedName>
    <definedName name="IQRPriceTargetGridG15" hidden="1">#REF!</definedName>
    <definedName name="IQRPriceTargetGridG16" hidden="1">#REF!</definedName>
    <definedName name="IQRPriceTargetGridG18" hidden="1">#REF!</definedName>
    <definedName name="IQRPriceTargetGridG19" hidden="1">#REF!</definedName>
    <definedName name="IQRPriceTargetGridG20" hidden="1">#REF!</definedName>
    <definedName name="IQRPriceTargetGridG21" hidden="1">#REF!</definedName>
    <definedName name="IQRPriceTargetGridG22" hidden="1">#REF!</definedName>
    <definedName name="IQRPriceTargetGridG25" hidden="1">#REF!</definedName>
    <definedName name="IQRPriceTargetGridG26" hidden="1">#REF!</definedName>
    <definedName name="IQRPriceTargetGridG27" hidden="1">#REF!</definedName>
    <definedName name="IQRPriceTargetGridG28" hidden="1">#REF!</definedName>
    <definedName name="IQRPriceTargetGridG29" hidden="1">#REF!</definedName>
    <definedName name="IQRPriceTargetGridG3" hidden="1">#REF!</definedName>
    <definedName name="IQRPriceTargetGridG30" hidden="1">#REF!</definedName>
    <definedName name="IQRPriceTargetGridG31" hidden="1">#REF!</definedName>
    <definedName name="IQRPriceTargetGridG32" hidden="1">#REF!</definedName>
    <definedName name="IQRPriceTargetGridG33" hidden="1">#REF!</definedName>
    <definedName name="IQRPriceTargetGridG34" hidden="1">#REF!</definedName>
    <definedName name="IQRPriceTargetGridG35" hidden="1">#REF!</definedName>
    <definedName name="IQRPriceTargetGridG36" hidden="1">#REF!</definedName>
    <definedName name="IQRPriceTargetGridG37" hidden="1">#REF!</definedName>
    <definedName name="IQRPriceTargetGridG38" hidden="1">#REF!</definedName>
    <definedName name="IQRPriceTargetGridG4" hidden="1">#REF!</definedName>
    <definedName name="IQRPriceTargetGridG42" hidden="1">#REF!</definedName>
    <definedName name="IQRPriceTargetGridG43" hidden="1">#REF!</definedName>
    <definedName name="IQRPriceTargetGridG44" hidden="1">#REF!</definedName>
    <definedName name="IQRPriceTargetGridG45" hidden="1">#REF!</definedName>
    <definedName name="IQRPriceTargetGridG46" hidden="1">#REF!</definedName>
    <definedName name="IQRPriceTargetGridG47" hidden="1">#REF!</definedName>
    <definedName name="IQRPriceTargetGridG48" hidden="1">#REF!</definedName>
    <definedName name="IQRPriceTargetGridG49" hidden="1">#REF!</definedName>
    <definedName name="IQRPriceTargetGridG5" hidden="1">#REF!</definedName>
    <definedName name="IQRPriceTargetGridG51" hidden="1">#REF!</definedName>
    <definedName name="IQRPriceTargetGridG52" hidden="1">#REF!</definedName>
    <definedName name="IQRPriceTargetGridG53" hidden="1">#REF!</definedName>
    <definedName name="IQRPriceTargetGridG54" hidden="1">#REF!</definedName>
    <definedName name="IQRPriceTargetGridG55" hidden="1">#REF!</definedName>
    <definedName name="IQRPriceTargetGridG56" hidden="1">#REF!</definedName>
    <definedName name="IQRPriceTargetGridG57" hidden="1">#REF!</definedName>
    <definedName name="IQRPriceTargetGridG58" hidden="1">#REF!</definedName>
    <definedName name="IQRPriceTargetGridG59" hidden="1">#REF!</definedName>
    <definedName name="IQRPriceTargetGridG6" hidden="1">#REF!</definedName>
    <definedName name="IQRPriceTargetGridG60" hidden="1">#REF!</definedName>
    <definedName name="IQRPriceTargetGridG61" hidden="1">#REF!</definedName>
    <definedName name="IQRPriceTargetGridG62" hidden="1">#REF!</definedName>
    <definedName name="IQRPriceTargetGridG63" hidden="1">#REF!</definedName>
    <definedName name="IQRPriceTargetGridG64" hidden="1">#REF!</definedName>
    <definedName name="IQRPriceTargetGridG65" hidden="1">#REF!</definedName>
    <definedName name="IQRPriceTargetGridG66" hidden="1">#REF!</definedName>
    <definedName name="IQRPriceTargetGridG67" hidden="1">#REF!</definedName>
    <definedName name="IQRPriceTargetGridG68" hidden="1">#REF!</definedName>
    <definedName name="IQRPriceTargetGridG69" hidden="1">#REF!</definedName>
    <definedName name="IQRPriceTargetGridG7" hidden="1">#REF!</definedName>
    <definedName name="IQRPriceTargetGridG70" hidden="1">#REF!</definedName>
    <definedName name="IQRPriceTargetGridG71" hidden="1">#REF!</definedName>
    <definedName name="IQRPriceTargetGridG72" hidden="1">#REF!</definedName>
    <definedName name="IQRPriceTargetGridG73" hidden="1">#REF!</definedName>
    <definedName name="IQRPriceTargetGridG74" hidden="1">#REF!</definedName>
    <definedName name="IQRPriceTargetGridG75" hidden="1">#REF!</definedName>
    <definedName name="IQRPriceTargetGridG76" hidden="1">#REF!</definedName>
    <definedName name="IQRPriceTargetGridG77" hidden="1">#REF!</definedName>
    <definedName name="IQRPriceTargetGridG78" hidden="1">#REF!</definedName>
    <definedName name="IQRPriceTargetGridG79" hidden="1">#REF!</definedName>
    <definedName name="IQRPriceTargetGridG8" hidden="1">#REF!</definedName>
    <definedName name="IQRPriceTargetGridG80" hidden="1">#REF!</definedName>
    <definedName name="IQRPriceTargetGridG81" hidden="1">#REF!</definedName>
    <definedName name="IQRPriceTargetGridG82" hidden="1">#REF!</definedName>
    <definedName name="IQRPriceTargetGridG83" hidden="1">#REF!</definedName>
    <definedName name="IQRPriceTargetGridG84" hidden="1">#REF!</definedName>
    <definedName name="IQRPriceTargetGridG85" hidden="1">#REF!</definedName>
    <definedName name="IQRPriceTargetGridG86" hidden="1">#REF!</definedName>
    <definedName name="IQRPriceTargetGridG87" hidden="1">#REF!</definedName>
    <definedName name="IQRPriceTargetGridG88" hidden="1">#REF!</definedName>
    <definedName name="IQRPriceTargetGridG89" hidden="1">#REF!</definedName>
    <definedName name="IQRPriceTargetGridG9" hidden="1">#REF!</definedName>
    <definedName name="IQRPriceTargetGridG90" hidden="1">#REF!</definedName>
    <definedName name="IQRPriceTargetGridG91" hidden="1">#REF!</definedName>
    <definedName name="IQRPriceTargetGridG92" hidden="1">#REF!</definedName>
    <definedName name="IQRPriceTargetGridG93" hidden="1">#REF!</definedName>
    <definedName name="IQRPriceTargetGridG94" hidden="1">#REF!</definedName>
    <definedName name="IQRPriceTargetGridG95" hidden="1">#REF!</definedName>
    <definedName name="IQRPriceTargetGridG96" hidden="1">#REF!</definedName>
    <definedName name="IQRPriceTargetGridG97" hidden="1">#REF!</definedName>
    <definedName name="IQRPriceTargetGridG98" hidden="1">#REF!</definedName>
    <definedName name="IQRPriceTargetGridG99" hidden="1">#REF!</definedName>
    <definedName name="IQRPriceTargetGridH10" hidden="1">#REF!</definedName>
    <definedName name="IQRPriceTargetGridH100" hidden="1">#REF!</definedName>
    <definedName name="IQRPriceTargetGridH101" hidden="1">#REF!</definedName>
    <definedName name="IQRPriceTargetGridH102" hidden="1">#REF!</definedName>
    <definedName name="IQRPriceTargetGridH103" hidden="1">#REF!</definedName>
    <definedName name="IQRPriceTargetGridH104" hidden="1">#REF!</definedName>
    <definedName name="IQRPriceTargetGridH105" hidden="1">#REF!</definedName>
    <definedName name="IQRPriceTargetGridH106" hidden="1">#REF!</definedName>
    <definedName name="IQRPriceTargetGridH107" hidden="1">#REF!</definedName>
    <definedName name="IQRPriceTargetGridH108" hidden="1">#REF!</definedName>
    <definedName name="IQRPriceTargetGridH109" hidden="1">#REF!</definedName>
    <definedName name="IQRPriceTargetGridH11" hidden="1">#REF!</definedName>
    <definedName name="IQRPriceTargetGridH110" hidden="1">#REF!</definedName>
    <definedName name="IQRPriceTargetGridH111" hidden="1">#REF!</definedName>
    <definedName name="IQRPriceTargetGridH112" hidden="1">#REF!</definedName>
    <definedName name="IQRPriceTargetGridH113" hidden="1">#REF!</definedName>
    <definedName name="IQRPriceTargetGridH114" hidden="1">#REF!</definedName>
    <definedName name="IQRPriceTargetGridH115" hidden="1">#REF!</definedName>
    <definedName name="IQRPriceTargetGridH116" hidden="1">#REF!</definedName>
    <definedName name="IQRPriceTargetGridH117" hidden="1">#REF!</definedName>
    <definedName name="IQRPriceTargetGridH118" hidden="1">#REF!</definedName>
    <definedName name="IQRPriceTargetGridH119" hidden="1">#REF!</definedName>
    <definedName name="IQRPriceTargetGridH12" hidden="1">#REF!</definedName>
    <definedName name="IQRPriceTargetGridH120" hidden="1">#REF!</definedName>
    <definedName name="IQRPriceTargetGridH13" hidden="1">#REF!</definedName>
    <definedName name="IQRPriceTargetGridH14" hidden="1">#REF!</definedName>
    <definedName name="IQRPriceTargetGridH15" hidden="1">#REF!</definedName>
    <definedName name="IQRPriceTargetGridH16" hidden="1">#REF!</definedName>
    <definedName name="IQRPriceTargetGridH17" hidden="1">#REF!</definedName>
    <definedName name="IQRPriceTargetGridH18" hidden="1">#REF!</definedName>
    <definedName name="IQRPriceTargetGridH19" hidden="1">#REF!</definedName>
    <definedName name="IQRPriceTargetGridH2" hidden="1">#REF!</definedName>
    <definedName name="IQRPriceTargetGridH20" hidden="1">#REF!</definedName>
    <definedName name="IQRPriceTargetGridH21" hidden="1">#REF!</definedName>
    <definedName name="IQRPriceTargetGridH22" hidden="1">#REF!</definedName>
    <definedName name="IQRPriceTargetGridH23" hidden="1">#REF!</definedName>
    <definedName name="IQRPriceTargetGridH24" hidden="1">#REF!</definedName>
    <definedName name="IQRPriceTargetGridH25" hidden="1">#REF!</definedName>
    <definedName name="IQRPriceTargetGridH26" hidden="1">#REF!</definedName>
    <definedName name="IQRPriceTargetGridH27" hidden="1">#REF!</definedName>
    <definedName name="IQRPriceTargetGridH28" hidden="1">#REF!</definedName>
    <definedName name="IQRPriceTargetGridH29" hidden="1">#REF!</definedName>
    <definedName name="IQRPriceTargetGridH3" hidden="1">#REF!</definedName>
    <definedName name="IQRPriceTargetGridH30" hidden="1">#REF!</definedName>
    <definedName name="IQRPriceTargetGridH31" hidden="1">#REF!</definedName>
    <definedName name="IQRPriceTargetGridH32" hidden="1">#REF!</definedName>
    <definedName name="IQRPriceTargetGridH33" hidden="1">#REF!</definedName>
    <definedName name="IQRPriceTargetGridH34" hidden="1">#REF!</definedName>
    <definedName name="IQRPriceTargetGridH35" hidden="1">#REF!</definedName>
    <definedName name="IQRPriceTargetGridH36" hidden="1">#REF!</definedName>
    <definedName name="IQRPriceTargetGridH37" hidden="1">#REF!</definedName>
    <definedName name="IQRPriceTargetGridH38" hidden="1">#REF!</definedName>
    <definedName name="IQRPriceTargetGridH39" hidden="1">#REF!</definedName>
    <definedName name="IQRPriceTargetGridH4" hidden="1">#REF!</definedName>
    <definedName name="IQRPriceTargetGridH40" hidden="1">#REF!</definedName>
    <definedName name="IQRPriceTargetGridH41" hidden="1">#REF!</definedName>
    <definedName name="IQRPriceTargetGridH42" hidden="1">#REF!</definedName>
    <definedName name="IQRPriceTargetGridH43" hidden="1">#REF!</definedName>
    <definedName name="IQRPriceTargetGridH44" hidden="1">#REF!</definedName>
    <definedName name="IQRPriceTargetGridH45" hidden="1">#REF!</definedName>
    <definedName name="IQRPriceTargetGridH46" hidden="1">#REF!</definedName>
    <definedName name="IQRPriceTargetGridH47" hidden="1">#REF!</definedName>
    <definedName name="IQRPriceTargetGridH48" hidden="1">#REF!</definedName>
    <definedName name="IQRPriceTargetGridH49" hidden="1">#REF!</definedName>
    <definedName name="IQRPriceTargetGridH5" hidden="1">#REF!</definedName>
    <definedName name="IQRPriceTargetGridH50" hidden="1">#REF!</definedName>
    <definedName name="IQRPriceTargetGridH51" hidden="1">#REF!</definedName>
    <definedName name="IQRPriceTargetGridH52" hidden="1">#REF!</definedName>
    <definedName name="IQRPriceTargetGridH53" hidden="1">#REF!</definedName>
    <definedName name="IQRPriceTargetGridH54" hidden="1">#REF!</definedName>
    <definedName name="IQRPriceTargetGridH55" hidden="1">#REF!</definedName>
    <definedName name="IQRPriceTargetGridH56" hidden="1">#REF!</definedName>
    <definedName name="IQRPriceTargetGridH57" hidden="1">#REF!</definedName>
    <definedName name="IQRPriceTargetGridH58" hidden="1">#REF!</definedName>
    <definedName name="IQRPriceTargetGridH59" hidden="1">#REF!</definedName>
    <definedName name="IQRPriceTargetGridH6" hidden="1">#REF!</definedName>
    <definedName name="IQRPriceTargetGridH60" hidden="1">#REF!</definedName>
    <definedName name="IQRPriceTargetGridH61" hidden="1">#REF!</definedName>
    <definedName name="IQRPriceTargetGridH62" hidden="1">#REF!</definedName>
    <definedName name="IQRPriceTargetGridH63" hidden="1">#REF!</definedName>
    <definedName name="IQRPriceTargetGridH64" hidden="1">#REF!</definedName>
    <definedName name="IQRPriceTargetGridH65" hidden="1">#REF!</definedName>
    <definedName name="IQRPriceTargetGridH66" hidden="1">#REF!</definedName>
    <definedName name="IQRPriceTargetGridH67" hidden="1">#REF!</definedName>
    <definedName name="IQRPriceTargetGridH68" hidden="1">#REF!</definedName>
    <definedName name="IQRPriceTargetGridH69" hidden="1">#REF!</definedName>
    <definedName name="IQRPriceTargetGridH7" hidden="1">#REF!</definedName>
    <definedName name="IQRPriceTargetGridH70" hidden="1">#REF!</definedName>
    <definedName name="IQRPriceTargetGridH71" hidden="1">#REF!</definedName>
    <definedName name="IQRPriceTargetGridH72" hidden="1">#REF!</definedName>
    <definedName name="IQRPriceTargetGridH73" hidden="1">#REF!</definedName>
    <definedName name="IQRPriceTargetGridH74" hidden="1">#REF!</definedName>
    <definedName name="IQRPriceTargetGridH75" hidden="1">#REF!</definedName>
    <definedName name="IQRPriceTargetGridH76" hidden="1">#REF!</definedName>
    <definedName name="IQRPriceTargetGridH77" hidden="1">#REF!</definedName>
    <definedName name="IQRPriceTargetGridH78" hidden="1">#REF!</definedName>
    <definedName name="IQRPriceTargetGridH79" hidden="1">#REF!</definedName>
    <definedName name="IQRPriceTargetGridH8" hidden="1">#REF!</definedName>
    <definedName name="IQRPriceTargetGridH80" hidden="1">#REF!</definedName>
    <definedName name="IQRPriceTargetGridH81" hidden="1">#REF!</definedName>
    <definedName name="IQRPriceTargetGridH82" hidden="1">#REF!</definedName>
    <definedName name="IQRPriceTargetGridH83" hidden="1">#REF!</definedName>
    <definedName name="IQRPriceTargetGridH84" hidden="1">#REF!</definedName>
    <definedName name="IQRPriceTargetGridH85" hidden="1">#REF!</definedName>
    <definedName name="IQRPriceTargetGridH86" hidden="1">#REF!</definedName>
    <definedName name="IQRPriceTargetGridH87" hidden="1">#REF!</definedName>
    <definedName name="IQRPriceTargetGridH88" hidden="1">#REF!</definedName>
    <definedName name="IQRPriceTargetGridH89" hidden="1">#REF!</definedName>
    <definedName name="IQRPriceTargetGridH9" hidden="1">#REF!</definedName>
    <definedName name="IQRPriceTargetGridH90" hidden="1">#REF!</definedName>
    <definedName name="IQRPriceTargetGridH91" hidden="1">#REF!</definedName>
    <definedName name="IQRPriceTargetGridH92" hidden="1">#REF!</definedName>
    <definedName name="IQRPriceTargetGridH93" hidden="1">#REF!</definedName>
    <definedName name="IQRPriceTargetGridH94" hidden="1">#REF!</definedName>
    <definedName name="IQRPriceTargetGridH95" hidden="1">#REF!</definedName>
    <definedName name="IQRPriceTargetGridH96" hidden="1">#REF!</definedName>
    <definedName name="IQRPriceTargetGridH97" hidden="1">#REF!</definedName>
    <definedName name="IQRPriceTargetGridH98" hidden="1">#REF!</definedName>
    <definedName name="IQRPriceTargetGridH99" hidden="1">#REF!</definedName>
    <definedName name="IQRPriceTargetGridO2" hidden="1">#REF!</definedName>
    <definedName name="IQRPriceTargetGridO3" hidden="1">#REF!</definedName>
    <definedName name="IQRPriceTargetGridO4" hidden="1">#REF!</definedName>
    <definedName name="IQRPriceTargetGridO5" hidden="1">#REF!</definedName>
    <definedName name="IQRPriceTargetGridO6" hidden="1">#REF!</definedName>
    <definedName name="IQRPriceTargetGridP10" hidden="1">#REF!</definedName>
    <definedName name="IQRPriceTargetGridP100" hidden="1">#REF!</definedName>
    <definedName name="IQRPriceTargetGridP101" hidden="1">#REF!</definedName>
    <definedName name="IQRPriceTargetGridP103" hidden="1">#REF!</definedName>
    <definedName name="IQRPriceTargetGridP104" hidden="1">#REF!</definedName>
    <definedName name="IQRPriceTargetGridP106" hidden="1">#REF!</definedName>
    <definedName name="IQRPriceTargetGridP107" hidden="1">#REF!</definedName>
    <definedName name="IQRPriceTargetGridP108" hidden="1">#REF!</definedName>
    <definedName name="IQRPriceTargetGridP109" hidden="1">#REF!</definedName>
    <definedName name="IQRPriceTargetGridP11" hidden="1">#REF!</definedName>
    <definedName name="IQRPriceTargetGridP110" hidden="1">#REF!</definedName>
    <definedName name="IQRPriceTargetGridP112" hidden="1">#REF!</definedName>
    <definedName name="IQRPriceTargetGridP113" hidden="1">#REF!</definedName>
    <definedName name="IQRPriceTargetGridP114" hidden="1">#REF!</definedName>
    <definedName name="IQRPriceTargetGridP115" hidden="1">#REF!</definedName>
    <definedName name="IQRPriceTargetGridP116" hidden="1">#REF!</definedName>
    <definedName name="IQRPriceTargetGridP117" hidden="1">#REF!</definedName>
    <definedName name="IQRPriceTargetGridP118" hidden="1">#REF!</definedName>
    <definedName name="IQRPriceTargetGridP119" hidden="1">#REF!</definedName>
    <definedName name="IQRPriceTargetGridP12" hidden="1">#REF!</definedName>
    <definedName name="IQRPriceTargetGridP120" hidden="1">#REF!</definedName>
    <definedName name="IQRPriceTargetGridP121" hidden="1">#REF!</definedName>
    <definedName name="IQRPriceTargetGridP122" hidden="1">#REF!</definedName>
    <definedName name="IQRPriceTargetGridP123" hidden="1">#REF!</definedName>
    <definedName name="IQRPriceTargetGridP124" hidden="1">#REF!</definedName>
    <definedName name="IQRPriceTargetGridP13" hidden="1">#REF!</definedName>
    <definedName name="IQRPriceTargetGridP14" hidden="1">#REF!</definedName>
    <definedName name="IQRPriceTargetGridP15" hidden="1">#REF!</definedName>
    <definedName name="IQRPriceTargetGridP18" hidden="1">#REF!</definedName>
    <definedName name="IQRPriceTargetGridP2" hidden="1">#REF!</definedName>
    <definedName name="IQRPriceTargetGridP20" hidden="1">#REF!</definedName>
    <definedName name="IQRPriceTargetGridP21" hidden="1">#REF!</definedName>
    <definedName name="IQRPriceTargetGridP25" hidden="1">#REF!</definedName>
    <definedName name="IQRPriceTargetGridP26" hidden="1">#REF!</definedName>
    <definedName name="IQRPriceTargetGridP27" hidden="1">#REF!</definedName>
    <definedName name="IQRPriceTargetGridP28" hidden="1">#REF!</definedName>
    <definedName name="IQRPriceTargetGridP29" hidden="1">#REF!</definedName>
    <definedName name="IQRPriceTargetGridP3" hidden="1">#REF!</definedName>
    <definedName name="IQRPriceTargetGridP30" hidden="1">#REF!</definedName>
    <definedName name="IQRPriceTargetGridP31" hidden="1">#REF!</definedName>
    <definedName name="IQRPriceTargetGridP32" hidden="1">#REF!</definedName>
    <definedName name="IQRPriceTargetGridP33" hidden="1">#REF!</definedName>
    <definedName name="IQRPriceTargetGridP34" hidden="1">#REF!</definedName>
    <definedName name="IQRPriceTargetGridP35" hidden="1">#REF!</definedName>
    <definedName name="IQRPriceTargetGridP36" hidden="1">#REF!</definedName>
    <definedName name="IQRPriceTargetGridP37" hidden="1">#REF!</definedName>
    <definedName name="IQRPriceTargetGridP38" hidden="1">#REF!</definedName>
    <definedName name="IQRPriceTargetGridP4" hidden="1">#REF!</definedName>
    <definedName name="IQRPriceTargetGridP42" hidden="1">#REF!</definedName>
    <definedName name="IQRPriceTargetGridP43" hidden="1">#REF!</definedName>
    <definedName name="IQRPriceTargetGridP44" hidden="1">#REF!</definedName>
    <definedName name="IQRPriceTargetGridP45" hidden="1">#REF!</definedName>
    <definedName name="IQRPriceTargetGridP46" hidden="1">#REF!</definedName>
    <definedName name="IQRPriceTargetGridP47" hidden="1">#REF!</definedName>
    <definedName name="IQRPriceTargetGridP48" hidden="1">#REF!</definedName>
    <definedName name="IQRPriceTargetGridP49" hidden="1">#REF!</definedName>
    <definedName name="IQRPriceTargetGridP5" hidden="1">#REF!</definedName>
    <definedName name="IQRPriceTargetGridP51" hidden="1">#REF!</definedName>
    <definedName name="IQRPriceTargetGridP52" hidden="1">#REF!</definedName>
    <definedName name="IQRPriceTargetGridP53" hidden="1">#REF!</definedName>
    <definedName name="IQRPriceTargetGridP55" hidden="1">#REF!</definedName>
    <definedName name="IQRPriceTargetGridP57" hidden="1">#REF!</definedName>
    <definedName name="IQRPriceTargetGridP59" hidden="1">#REF!</definedName>
    <definedName name="IQRPriceTargetGridP6" hidden="1">#REF!</definedName>
    <definedName name="IQRPriceTargetGridP60" hidden="1">#REF!</definedName>
    <definedName name="IQRPriceTargetGridP61" hidden="1">#REF!</definedName>
    <definedName name="IQRPriceTargetGridP62" hidden="1">#REF!</definedName>
    <definedName name="IQRPriceTargetGridP63" hidden="1">#REF!</definedName>
    <definedName name="IQRPriceTargetGridP64" hidden="1">#REF!</definedName>
    <definedName name="IQRPriceTargetGridP65" hidden="1">#REF!</definedName>
    <definedName name="IQRPriceTargetGridP66" hidden="1">#REF!</definedName>
    <definedName name="IQRPriceTargetGridP67" hidden="1">#REF!</definedName>
    <definedName name="IQRPriceTargetGridP68" hidden="1">#REF!</definedName>
    <definedName name="IQRPriceTargetGridP69" hidden="1">#REF!</definedName>
    <definedName name="IQRPriceTargetGridP7" hidden="1">#REF!</definedName>
    <definedName name="IQRPriceTargetGridP70" hidden="1">#REF!</definedName>
    <definedName name="IQRPriceTargetGridP71" hidden="1">#REF!</definedName>
    <definedName name="IQRPriceTargetGridP72" hidden="1">#REF!</definedName>
    <definedName name="IQRPriceTargetGridP73" hidden="1">#REF!</definedName>
    <definedName name="IQRPriceTargetGridP74" hidden="1">#REF!</definedName>
    <definedName name="IQRPriceTargetGridP75" hidden="1">#REF!</definedName>
    <definedName name="IQRPriceTargetGridP76" hidden="1">#REF!</definedName>
    <definedName name="IQRPriceTargetGridP77" hidden="1">#REF!</definedName>
    <definedName name="IQRPriceTargetGridP78" hidden="1">#REF!</definedName>
    <definedName name="IQRPriceTargetGridP79" hidden="1">#REF!</definedName>
    <definedName name="IQRPriceTargetGridP8" hidden="1">#REF!</definedName>
    <definedName name="IQRPriceTargetGridP80" hidden="1">#REF!</definedName>
    <definedName name="IQRPriceTargetGridP81" hidden="1">#REF!</definedName>
    <definedName name="IQRPriceTargetGridP82" hidden="1">#REF!</definedName>
    <definedName name="IQRPriceTargetGridP84" hidden="1">#REF!</definedName>
    <definedName name="IQRPriceTargetGridP85" hidden="1">#REF!</definedName>
    <definedName name="IQRPriceTargetGridP86" hidden="1">#REF!</definedName>
    <definedName name="IQRPriceTargetGridP87" hidden="1">#REF!</definedName>
    <definedName name="IQRPriceTargetGridP88" hidden="1">#REF!</definedName>
    <definedName name="IQRPriceTargetGridP89" hidden="1">#REF!</definedName>
    <definedName name="IQRPriceTargetGridP9" hidden="1">#REF!</definedName>
    <definedName name="IQRPriceTargetGridP90" hidden="1">#REF!</definedName>
    <definedName name="IQRPriceTargetGridP91" hidden="1">#REF!</definedName>
    <definedName name="IQRPriceTargetGridP92" hidden="1">#REF!</definedName>
    <definedName name="IQRPriceTargetGridP93" hidden="1">#REF!</definedName>
    <definedName name="IQRPriceTargetGridP94" hidden="1">#REF!</definedName>
    <definedName name="IQRPriceTargetGridP95" hidden="1">#REF!</definedName>
    <definedName name="IQRPriceTargetGridP96" hidden="1">#REF!</definedName>
    <definedName name="IQRPriceTargetGridP97" hidden="1">#REF!</definedName>
    <definedName name="IQRPriceTargetGridP98" hidden="1">#REF!</definedName>
    <definedName name="IQRPriceTargetGridP99" hidden="1">#REF!</definedName>
    <definedName name="IQRSheet1H10" hidden="1">#REF!</definedName>
    <definedName name="IQRSheet1H100" hidden="1">#REF!</definedName>
    <definedName name="IQRSheet1H101" hidden="1">#REF!</definedName>
    <definedName name="IQRSheet1H102" hidden="1">#REF!</definedName>
    <definedName name="IQRSheet1H103" hidden="1">#REF!</definedName>
    <definedName name="IQRSheet1H104" hidden="1">#REF!</definedName>
    <definedName name="IQRSheet1H105" hidden="1">#REF!</definedName>
    <definedName name="IQRSheet1H106" hidden="1">#REF!</definedName>
    <definedName name="IQRSheet1H107" hidden="1">#REF!</definedName>
    <definedName name="IQRSheet1H108" hidden="1">#REF!</definedName>
    <definedName name="IQRSheet1H109" hidden="1">#REF!</definedName>
    <definedName name="IQRSheet1H11" hidden="1">#REF!</definedName>
    <definedName name="IQRSheet1H110" hidden="1">#REF!</definedName>
    <definedName name="IQRSheet1H111" hidden="1">#REF!</definedName>
    <definedName name="IQRSheet1H112" hidden="1">#REF!</definedName>
    <definedName name="IQRSheet1H113" hidden="1">#REF!</definedName>
    <definedName name="IQRSheet1H114" hidden="1">#REF!</definedName>
    <definedName name="IQRSheet1H115" hidden="1">#REF!</definedName>
    <definedName name="IQRSheet1H116" hidden="1">#REF!</definedName>
    <definedName name="IQRSheet1H117" hidden="1">#REF!</definedName>
    <definedName name="IQRSheet1H118" hidden="1">#REF!</definedName>
    <definedName name="IQRSheet1H119" hidden="1">#REF!</definedName>
    <definedName name="IQRSheet1H12" hidden="1">#REF!</definedName>
    <definedName name="IQRSheet1H120" hidden="1">#REF!</definedName>
    <definedName name="IQRSheet1H13" hidden="1">#REF!</definedName>
    <definedName name="IQRSheet1H14" hidden="1">#REF!</definedName>
    <definedName name="IQRSheet1H15" hidden="1">#REF!</definedName>
    <definedName name="IQRSheet1H16" hidden="1">#REF!</definedName>
    <definedName name="IQRSheet1H17" hidden="1">#REF!</definedName>
    <definedName name="IQRSheet1H18" hidden="1">#REF!</definedName>
    <definedName name="IQRSheet1H19" hidden="1">#REF!</definedName>
    <definedName name="IQRSheet1H20" hidden="1">#REF!</definedName>
    <definedName name="IQRSheet1H21" hidden="1">#REF!</definedName>
    <definedName name="IQRSheet1H22" hidden="1">#REF!</definedName>
    <definedName name="IQRSheet1H23" hidden="1">#REF!</definedName>
    <definedName name="IQRSheet1H24" hidden="1">#REF!</definedName>
    <definedName name="IQRSheet1H25" hidden="1">#REF!</definedName>
    <definedName name="IQRSheet1H26" hidden="1">#REF!</definedName>
    <definedName name="IQRSheet1H27" hidden="1">#REF!</definedName>
    <definedName name="IQRSheet1H28" hidden="1">#REF!</definedName>
    <definedName name="IQRSheet1H29" hidden="1">#REF!</definedName>
    <definedName name="IQRSheet1H30" hidden="1">#REF!</definedName>
    <definedName name="IQRSheet1H31" hidden="1">#REF!</definedName>
    <definedName name="IQRSheet1H32" hidden="1">#REF!</definedName>
    <definedName name="IQRSheet1H33" hidden="1">#REF!</definedName>
    <definedName name="IQRSheet1H34" hidden="1">#REF!</definedName>
    <definedName name="IQRSheet1H35" hidden="1">#REF!</definedName>
    <definedName name="IQRSheet1H36" hidden="1">#REF!</definedName>
    <definedName name="IQRSheet1H37" hidden="1">#REF!</definedName>
    <definedName name="IQRSheet1H38" hidden="1">#REF!</definedName>
    <definedName name="IQRSheet1H39" hidden="1">#REF!</definedName>
    <definedName name="IQRSheet1H42" hidden="1">#REF!</definedName>
    <definedName name="IQRSheet1H43" hidden="1">#REF!</definedName>
    <definedName name="IQRSheet1H44" hidden="1">#REF!</definedName>
    <definedName name="IQRSheet1H45" hidden="1">#REF!</definedName>
    <definedName name="IQRSheet1H46" hidden="1">#REF!</definedName>
    <definedName name="IQRSheet1H47" hidden="1">#REF!</definedName>
    <definedName name="IQRSheet1H48" hidden="1">#REF!</definedName>
    <definedName name="IQRSheet1H49" hidden="1">#REF!</definedName>
    <definedName name="IQRSheet1H5" hidden="1">#REF!</definedName>
    <definedName name="IQRSheet1H50" hidden="1">#REF!</definedName>
    <definedName name="IQRSheet1H51" hidden="1">#REF!</definedName>
    <definedName name="IQRSheet1H52" hidden="1">#REF!</definedName>
    <definedName name="IQRSheet1H53" hidden="1">#REF!</definedName>
    <definedName name="IQRSheet1H54" hidden="1">#REF!</definedName>
    <definedName name="IQRSheet1H55" hidden="1">#REF!</definedName>
    <definedName name="IQRSheet1H56" hidden="1">#REF!</definedName>
    <definedName name="IQRSheet1H57" hidden="1">#REF!</definedName>
    <definedName name="IQRSheet1H58" hidden="1">#REF!</definedName>
    <definedName name="IQRSheet1H59" hidden="1">#REF!</definedName>
    <definedName name="IQRSheet1H6" hidden="1">#REF!</definedName>
    <definedName name="IQRSheet1H60" hidden="1">#REF!</definedName>
    <definedName name="IQRSheet1H61" hidden="1">#REF!</definedName>
    <definedName name="IQRSheet1H62" hidden="1">#REF!</definedName>
    <definedName name="IQRSheet1H63" hidden="1">#REF!</definedName>
    <definedName name="IQRSheet1H64" hidden="1">#REF!</definedName>
    <definedName name="IQRSheet1H65" hidden="1">#REF!</definedName>
    <definedName name="IQRSheet1H66" hidden="1">#REF!</definedName>
    <definedName name="IQRSheet1H67" hidden="1">#REF!</definedName>
    <definedName name="IQRSheet1H68" hidden="1">#REF!</definedName>
    <definedName name="IQRSheet1H69" hidden="1">#REF!</definedName>
    <definedName name="IQRSheet1H7" hidden="1">#REF!</definedName>
    <definedName name="IQRSheet1H70" hidden="1">#REF!</definedName>
    <definedName name="IQRSheet1H71" hidden="1">#REF!</definedName>
    <definedName name="IQRSheet1H72" hidden="1">#REF!</definedName>
    <definedName name="IQRSheet1H73" hidden="1">#REF!</definedName>
    <definedName name="IQRSheet1H74" hidden="1">#REF!</definedName>
    <definedName name="IQRSheet1H75" hidden="1">#REF!</definedName>
    <definedName name="IQRSheet1H76" hidden="1">#REF!</definedName>
    <definedName name="IQRSheet1H77" hidden="1">#REF!</definedName>
    <definedName name="IQRSheet1H78" hidden="1">#REF!</definedName>
    <definedName name="IQRSheet1H79" hidden="1">#REF!</definedName>
    <definedName name="IQRSheet1H8" hidden="1">#REF!</definedName>
    <definedName name="IQRSheet1H80" hidden="1">#REF!</definedName>
    <definedName name="IQRSheet1H81" hidden="1">#REF!</definedName>
    <definedName name="IQRSheet1H82" hidden="1">#REF!</definedName>
    <definedName name="IQRSheet1H83" hidden="1">#REF!</definedName>
    <definedName name="IQRSheet1H84" hidden="1">#REF!</definedName>
    <definedName name="IQRSheet1H85" hidden="1">#REF!</definedName>
    <definedName name="IQRSheet1H86" hidden="1">#REF!</definedName>
    <definedName name="IQRSheet1H87" hidden="1">#REF!</definedName>
    <definedName name="IQRSheet1H88" hidden="1">#REF!</definedName>
    <definedName name="IQRSheet1H89" hidden="1">#REF!</definedName>
    <definedName name="IQRSheet1H9" hidden="1">#REF!</definedName>
    <definedName name="IQRSheet1H90" hidden="1">#REF!</definedName>
    <definedName name="IQRSheet1H91" hidden="1">#REF!</definedName>
    <definedName name="IQRSheet1H92" hidden="1">#REF!</definedName>
    <definedName name="IQRSheet1H93" hidden="1">#REF!</definedName>
    <definedName name="IQRSheet1H94" hidden="1">#REF!</definedName>
    <definedName name="IQRSheet1H95" hidden="1">#REF!</definedName>
    <definedName name="IQRSheet1H96" hidden="1">#REF!</definedName>
    <definedName name="IQRSheet1H97" hidden="1">#REF!</definedName>
    <definedName name="IQRSheet1H98" hidden="1">#REF!</definedName>
    <definedName name="IQRSheet1H99" hidden="1">#REF!</definedName>
    <definedName name="IQRSummaryChartsA73" hidden="1">'[6]Summary Charts'!$A$74:$A$78</definedName>
    <definedName name="IQRSummaryChartsC73" hidden="1">'[6]Summary Charts'!$C$74:$C$78</definedName>
    <definedName name="IQRSummaryChartsJ73" hidden="1">'[6]Summary Charts'!$J$74:$J$78</definedName>
    <definedName name="IQRTearsheetT55" hidden="1">[2]Tearsheet!#REF!</definedName>
    <definedName name="IQRTickerConverterH10" hidden="1">#REF!</definedName>
    <definedName name="IQRTickerConverterH100" hidden="1">#REF!</definedName>
    <definedName name="IQRTickerConverterH1000" hidden="1">#REF!</definedName>
    <definedName name="IQRTickerConverterH1002" hidden="1">#REF!</definedName>
    <definedName name="IQRTickerConverterH1003" hidden="1">#REF!</definedName>
    <definedName name="IQRTickerConverterH1004" hidden="1">#REF!</definedName>
    <definedName name="IQRTickerConverterH1005" hidden="1">#REF!</definedName>
    <definedName name="IQRTickerConverterH1006" hidden="1">#REF!</definedName>
    <definedName name="IQRTickerConverterH1007" hidden="1">#REF!</definedName>
    <definedName name="IQRTickerConverterH1008" hidden="1">#REF!</definedName>
    <definedName name="IQRTickerConverterH1009" hidden="1">#REF!</definedName>
    <definedName name="IQRTickerConverterH101" hidden="1">#REF!</definedName>
    <definedName name="IQRTickerConverterH1010" hidden="1">#REF!</definedName>
    <definedName name="IQRTickerConverterH1011" hidden="1">#REF!</definedName>
    <definedName name="IQRTickerConverterH1012" hidden="1">#REF!</definedName>
    <definedName name="IQRTickerConverterH1013" hidden="1">#REF!</definedName>
    <definedName name="IQRTickerConverterH1014" hidden="1">#REF!</definedName>
    <definedName name="IQRTickerConverterH1015" hidden="1">#REF!</definedName>
    <definedName name="IQRTickerConverterH1016" hidden="1">#REF!</definedName>
    <definedName name="IQRTickerConverterH1017" hidden="1">#REF!</definedName>
    <definedName name="IQRTickerConverterH1018" hidden="1">#REF!</definedName>
    <definedName name="IQRTickerConverterH1019" hidden="1">#REF!</definedName>
    <definedName name="IQRTickerConverterH102" hidden="1">#REF!</definedName>
    <definedName name="IQRTickerConverterH1020" hidden="1">#REF!</definedName>
    <definedName name="IQRTickerConverterH1021" hidden="1">#REF!</definedName>
    <definedName name="IQRTickerConverterH1022" hidden="1">#REF!</definedName>
    <definedName name="IQRTickerConverterH1023" hidden="1">#REF!</definedName>
    <definedName name="IQRTickerConverterH1024" hidden="1">#REF!</definedName>
    <definedName name="IQRTickerConverterH1025" hidden="1">#REF!</definedName>
    <definedName name="IQRTickerConverterH1026" hidden="1">#REF!</definedName>
    <definedName name="IQRTickerConverterH1027" hidden="1">#REF!</definedName>
    <definedName name="IQRTickerConverterH1028" hidden="1">#REF!</definedName>
    <definedName name="IQRTickerConverterH1029" hidden="1">#REF!</definedName>
    <definedName name="IQRTickerConverterH103" hidden="1">#REF!</definedName>
    <definedName name="IQRTickerConverterH1030" hidden="1">#REF!</definedName>
    <definedName name="IQRTickerConverterH1031" hidden="1">#REF!</definedName>
    <definedName name="IQRTickerConverterH1032" hidden="1">#REF!</definedName>
    <definedName name="IQRTickerConverterH1033" hidden="1">#REF!</definedName>
    <definedName name="IQRTickerConverterH1034" hidden="1">#REF!</definedName>
    <definedName name="IQRTickerConverterH1035" hidden="1">#REF!</definedName>
    <definedName name="IQRTickerConverterH1036" hidden="1">#REF!</definedName>
    <definedName name="IQRTickerConverterH1037" hidden="1">#REF!</definedName>
    <definedName name="IQRTickerConverterH1038" hidden="1">#REF!</definedName>
    <definedName name="IQRTickerConverterH1039" hidden="1">#REF!</definedName>
    <definedName name="IQRTickerConverterH104" hidden="1">#REF!</definedName>
    <definedName name="IQRTickerConverterH1040" hidden="1">#REF!</definedName>
    <definedName name="IQRTickerConverterH1041" hidden="1">#REF!</definedName>
    <definedName name="IQRTickerConverterH1042" hidden="1">#REF!</definedName>
    <definedName name="IQRTickerConverterH1043" hidden="1">#REF!</definedName>
    <definedName name="IQRTickerConverterH1044" hidden="1">#REF!</definedName>
    <definedName name="IQRTickerConverterH1045" hidden="1">#REF!</definedName>
    <definedName name="IQRTickerConverterH1046" hidden="1">#REF!</definedName>
    <definedName name="IQRTickerConverterH1047" hidden="1">#REF!</definedName>
    <definedName name="IQRTickerConverterH1048" hidden="1">#REF!</definedName>
    <definedName name="IQRTickerConverterH1049" hidden="1">#REF!</definedName>
    <definedName name="IQRTickerConverterH105" hidden="1">#REF!</definedName>
    <definedName name="IQRTickerConverterH1050" hidden="1">#REF!</definedName>
    <definedName name="IQRTickerConverterH1051" hidden="1">#REF!</definedName>
    <definedName name="IQRTickerConverterH1052" hidden="1">#REF!</definedName>
    <definedName name="IQRTickerConverterH1053" hidden="1">#REF!</definedName>
    <definedName name="IQRTickerConverterH1054" hidden="1">#REF!</definedName>
    <definedName name="IQRTickerConverterH1055" hidden="1">#REF!</definedName>
    <definedName name="IQRTickerConverterH1056" hidden="1">#REF!</definedName>
    <definedName name="IQRTickerConverterH1057" hidden="1">#REF!</definedName>
    <definedName name="IQRTickerConverterH1058" hidden="1">#REF!</definedName>
    <definedName name="IQRTickerConverterH1059" hidden="1">#REF!</definedName>
    <definedName name="IQRTickerConverterH106" hidden="1">#REF!</definedName>
    <definedName name="IQRTickerConverterH1061" hidden="1">#REF!</definedName>
    <definedName name="IQRTickerConverterH1062" hidden="1">#REF!</definedName>
    <definedName name="IQRTickerConverterH1063" hidden="1">#REF!</definedName>
    <definedName name="IQRTickerConverterH1064" hidden="1">#REF!</definedName>
    <definedName name="IQRTickerConverterH1065" hidden="1">#REF!</definedName>
    <definedName name="IQRTickerConverterH1066" hidden="1">#REF!</definedName>
    <definedName name="IQRTickerConverterH1067" hidden="1">#REF!</definedName>
    <definedName name="IQRTickerConverterH1068" hidden="1">#REF!</definedName>
    <definedName name="IQRTickerConverterH1069" hidden="1">#REF!</definedName>
    <definedName name="IQRTickerConverterH107" hidden="1">#REF!</definedName>
    <definedName name="IQRTickerConverterH1070" hidden="1">#REF!</definedName>
    <definedName name="IQRTickerConverterH1071" hidden="1">#REF!</definedName>
    <definedName name="IQRTickerConverterH1072" hidden="1">#REF!</definedName>
    <definedName name="IQRTickerConverterH1074" hidden="1">#REF!</definedName>
    <definedName name="IQRTickerConverterH1075" hidden="1">#REF!</definedName>
    <definedName name="IQRTickerConverterH1076" hidden="1">#REF!</definedName>
    <definedName name="IQRTickerConverterH1077" hidden="1">#REF!</definedName>
    <definedName name="IQRTickerConverterH108" hidden="1">#REF!</definedName>
    <definedName name="IQRTickerConverterH1080" hidden="1">#REF!</definedName>
    <definedName name="IQRTickerConverterH1081" hidden="1">#REF!</definedName>
    <definedName name="IQRTickerConverterH1082" hidden="1">#REF!</definedName>
    <definedName name="IQRTickerConverterH1083" hidden="1">#REF!</definedName>
    <definedName name="IQRTickerConverterH1084" hidden="1">#REF!</definedName>
    <definedName name="IQRTickerConverterH1085" hidden="1">#REF!</definedName>
    <definedName name="IQRTickerConverterH1086" hidden="1">#REF!</definedName>
    <definedName name="IQRTickerConverterH1087" hidden="1">#REF!</definedName>
    <definedName name="IQRTickerConverterH1088" hidden="1">#REF!</definedName>
    <definedName name="IQRTickerConverterH1089" hidden="1">#REF!</definedName>
    <definedName name="IQRTickerConverterH109" hidden="1">#REF!</definedName>
    <definedName name="IQRTickerConverterH1090" hidden="1">#REF!</definedName>
    <definedName name="IQRTickerConverterH1091" hidden="1">#REF!</definedName>
    <definedName name="IQRTickerConverterH1093" hidden="1">#REF!</definedName>
    <definedName name="IQRTickerConverterH1094" hidden="1">#REF!</definedName>
    <definedName name="IQRTickerConverterH1095" hidden="1">#REF!</definedName>
    <definedName name="IQRTickerConverterH1097" hidden="1">#REF!</definedName>
    <definedName name="IQRTickerConverterH1098" hidden="1">#REF!</definedName>
    <definedName name="IQRTickerConverterH1099" hidden="1">#REF!</definedName>
    <definedName name="IQRTickerConverterH11" hidden="1">#REF!</definedName>
    <definedName name="IQRTickerConverterH110" hidden="1">#REF!</definedName>
    <definedName name="IQRTickerConverterH1100" hidden="1">#REF!</definedName>
    <definedName name="IQRTickerConverterH1101" hidden="1">#REF!</definedName>
    <definedName name="IQRTickerConverterH1102" hidden="1">#REF!</definedName>
    <definedName name="IQRTickerConverterH1103" hidden="1">#REF!</definedName>
    <definedName name="IQRTickerConverterH1104" hidden="1">#REF!</definedName>
    <definedName name="IQRTickerConverterH1105" hidden="1">#REF!</definedName>
    <definedName name="IQRTickerConverterH1106" hidden="1">#REF!</definedName>
    <definedName name="IQRTickerConverterH1107" hidden="1">#REF!</definedName>
    <definedName name="IQRTickerConverterH1108" hidden="1">#REF!</definedName>
    <definedName name="IQRTickerConverterH1109" hidden="1">#REF!</definedName>
    <definedName name="IQRTickerConverterH111" hidden="1">#REF!</definedName>
    <definedName name="IQRTickerConverterH1110" hidden="1">#REF!</definedName>
    <definedName name="IQRTickerConverterH1111" hidden="1">#REF!</definedName>
    <definedName name="IQRTickerConverterH1112" hidden="1">#REF!</definedName>
    <definedName name="IQRTickerConverterH1113" hidden="1">#REF!</definedName>
    <definedName name="IQRTickerConverterH1114" hidden="1">#REF!</definedName>
    <definedName name="IQRTickerConverterH1115" hidden="1">#REF!</definedName>
    <definedName name="IQRTickerConverterH1116" hidden="1">#REF!</definedName>
    <definedName name="IQRTickerConverterH1117" hidden="1">#REF!</definedName>
    <definedName name="IQRTickerConverterH1118" hidden="1">#REF!</definedName>
    <definedName name="IQRTickerConverterH1119" hidden="1">#REF!</definedName>
    <definedName name="IQRTickerConverterH112" hidden="1">#REF!</definedName>
    <definedName name="IQRTickerConverterH1120" hidden="1">#REF!</definedName>
    <definedName name="IQRTickerConverterH1122" hidden="1">#REF!</definedName>
    <definedName name="IQRTickerConverterH1124" hidden="1">#REF!</definedName>
    <definedName name="IQRTickerConverterH1125" hidden="1">#REF!</definedName>
    <definedName name="IQRTickerConverterH1126" hidden="1">#REF!</definedName>
    <definedName name="IQRTickerConverterH1127" hidden="1">#REF!</definedName>
    <definedName name="IQRTickerConverterH1128" hidden="1">#REF!</definedName>
    <definedName name="IQRTickerConverterH1129" hidden="1">#REF!</definedName>
    <definedName name="IQRTickerConverterH113" hidden="1">#REF!</definedName>
    <definedName name="IQRTickerConverterH1130" hidden="1">#REF!</definedName>
    <definedName name="IQRTickerConverterH1131" hidden="1">#REF!</definedName>
    <definedName name="IQRTickerConverterH1132" hidden="1">#REF!</definedName>
    <definedName name="IQRTickerConverterH1133" hidden="1">#REF!</definedName>
    <definedName name="IQRTickerConverterH1134" hidden="1">#REF!</definedName>
    <definedName name="IQRTickerConverterH1135" hidden="1">#REF!</definedName>
    <definedName name="IQRTickerConverterH1136" hidden="1">#REF!</definedName>
    <definedName name="IQRTickerConverterH1137" hidden="1">#REF!</definedName>
    <definedName name="IQRTickerConverterH1138" hidden="1">#REF!</definedName>
    <definedName name="IQRTickerConverterH1139" hidden="1">#REF!</definedName>
    <definedName name="IQRTickerConverterH1140" hidden="1">#REF!</definedName>
    <definedName name="IQRTickerConverterH1142" hidden="1">#REF!</definedName>
    <definedName name="IQRTickerConverterH1143" hidden="1">#REF!</definedName>
    <definedName name="IQRTickerConverterH1144" hidden="1">#REF!</definedName>
    <definedName name="IQRTickerConverterH1145" hidden="1">#REF!</definedName>
    <definedName name="IQRTickerConverterH1146" hidden="1">#REF!</definedName>
    <definedName name="IQRTickerConverterH1147" hidden="1">#REF!</definedName>
    <definedName name="IQRTickerConverterH1148" hidden="1">#REF!</definedName>
    <definedName name="IQRTickerConverterH1149" hidden="1">#REF!</definedName>
    <definedName name="IQRTickerConverterH115" hidden="1">#REF!</definedName>
    <definedName name="IQRTickerConverterH1150" hidden="1">#REF!</definedName>
    <definedName name="IQRTickerConverterH1151" hidden="1">#REF!</definedName>
    <definedName name="IQRTickerConverterH1152" hidden="1">#REF!</definedName>
    <definedName name="IQRTickerConverterH1153" hidden="1">#REF!</definedName>
    <definedName name="IQRTickerConverterH1154" hidden="1">#REF!</definedName>
    <definedName name="IQRTickerConverterH1156" hidden="1">#REF!</definedName>
    <definedName name="IQRTickerConverterH1157" hidden="1">#REF!</definedName>
    <definedName name="IQRTickerConverterH1158" hidden="1">#REF!</definedName>
    <definedName name="IQRTickerConverterH1159" hidden="1">#REF!</definedName>
    <definedName name="IQRTickerConverterH116" hidden="1">#REF!</definedName>
    <definedName name="IQRTickerConverterH1160" hidden="1">#REF!</definedName>
    <definedName name="IQRTickerConverterH1161" hidden="1">#REF!</definedName>
    <definedName name="IQRTickerConverterH1162" hidden="1">#REF!</definedName>
    <definedName name="IQRTickerConverterH1163" hidden="1">#REF!</definedName>
    <definedName name="IQRTickerConverterH1164" hidden="1">#REF!</definedName>
    <definedName name="IQRTickerConverterH1165" hidden="1">#REF!</definedName>
    <definedName name="IQRTickerConverterH1166" hidden="1">#REF!</definedName>
    <definedName name="IQRTickerConverterH1167" hidden="1">#REF!</definedName>
    <definedName name="IQRTickerConverterH1168" hidden="1">#REF!</definedName>
    <definedName name="IQRTickerConverterH1169" hidden="1">#REF!</definedName>
    <definedName name="IQRTickerConverterH117" hidden="1">#REF!</definedName>
    <definedName name="IQRTickerConverterH1170" hidden="1">#REF!</definedName>
    <definedName name="IQRTickerConverterH1171" hidden="1">#REF!</definedName>
    <definedName name="IQRTickerConverterH1172" hidden="1">#REF!</definedName>
    <definedName name="IQRTickerConverterH1173" hidden="1">#REF!</definedName>
    <definedName name="IQRTickerConverterH1174" hidden="1">#REF!</definedName>
    <definedName name="IQRTickerConverterH1175" hidden="1">#REF!</definedName>
    <definedName name="IQRTickerConverterH1176" hidden="1">#REF!</definedName>
    <definedName name="IQRTickerConverterH1177" hidden="1">#REF!</definedName>
    <definedName name="IQRTickerConverterH1178" hidden="1">#REF!</definedName>
    <definedName name="IQRTickerConverterH1179" hidden="1">#REF!</definedName>
    <definedName name="IQRTickerConverterH118" hidden="1">#REF!</definedName>
    <definedName name="IQRTickerConverterH1180" hidden="1">#REF!</definedName>
    <definedName name="IQRTickerConverterH1181" hidden="1">#REF!</definedName>
    <definedName name="IQRTickerConverterH1182" hidden="1">#REF!</definedName>
    <definedName name="IQRTickerConverterH1183" hidden="1">#REF!</definedName>
    <definedName name="IQRTickerConverterH1184" hidden="1">#REF!</definedName>
    <definedName name="IQRTickerConverterH1185" hidden="1">#REF!</definedName>
    <definedName name="IQRTickerConverterH1186" hidden="1">#REF!</definedName>
    <definedName name="IQRTickerConverterH1188" hidden="1">#REF!</definedName>
    <definedName name="IQRTickerConverterH1189" hidden="1">#REF!</definedName>
    <definedName name="IQRTickerConverterH119" hidden="1">#REF!</definedName>
    <definedName name="IQRTickerConverterH1190" hidden="1">#REF!</definedName>
    <definedName name="IQRTickerConverterH1191" hidden="1">#REF!</definedName>
    <definedName name="IQRTickerConverterH1192" hidden="1">#REF!</definedName>
    <definedName name="IQRTickerConverterH1193" hidden="1">#REF!</definedName>
    <definedName name="IQRTickerConverterH1194" hidden="1">#REF!</definedName>
    <definedName name="IQRTickerConverterH1195" hidden="1">#REF!</definedName>
    <definedName name="IQRTickerConverterH1196" hidden="1">#REF!</definedName>
    <definedName name="IQRTickerConverterH1197" hidden="1">#REF!</definedName>
    <definedName name="IQRTickerConverterH1198" hidden="1">#REF!</definedName>
    <definedName name="IQRTickerConverterH1199" hidden="1">#REF!</definedName>
    <definedName name="IQRTickerConverterH12" hidden="1">#REF!</definedName>
    <definedName name="IQRTickerConverterH120" hidden="1">#REF!</definedName>
    <definedName name="IQRTickerConverterH1200" hidden="1">#REF!</definedName>
    <definedName name="IQRTickerConverterH1201" hidden="1">#REF!</definedName>
    <definedName name="IQRTickerConverterH1202" hidden="1">#REF!</definedName>
    <definedName name="IQRTickerConverterH1203" hidden="1">#REF!</definedName>
    <definedName name="IQRTickerConverterH1204" hidden="1">#REF!</definedName>
    <definedName name="IQRTickerConverterH1205" hidden="1">#REF!</definedName>
    <definedName name="IQRTickerConverterH1206" hidden="1">#REF!</definedName>
    <definedName name="IQRTickerConverterH1207" hidden="1">#REF!</definedName>
    <definedName name="IQRTickerConverterH1208" hidden="1">#REF!</definedName>
    <definedName name="IQRTickerConverterH1209" hidden="1">#REF!</definedName>
    <definedName name="IQRTickerConverterH121" hidden="1">#REF!</definedName>
    <definedName name="IQRTickerConverterH1210" hidden="1">#REF!</definedName>
    <definedName name="IQRTickerConverterH1211" hidden="1">#REF!</definedName>
    <definedName name="IQRTickerConverterH1212" hidden="1">#REF!</definedName>
    <definedName name="IQRTickerConverterH1213" hidden="1">#REF!</definedName>
    <definedName name="IQRTickerConverterH1214" hidden="1">#REF!</definedName>
    <definedName name="IQRTickerConverterH1215" hidden="1">#REF!</definedName>
    <definedName name="IQRTickerConverterH1216" hidden="1">#REF!</definedName>
    <definedName name="IQRTickerConverterH1217" hidden="1">#REF!</definedName>
    <definedName name="IQRTickerConverterH1218" hidden="1">#REF!</definedName>
    <definedName name="IQRTickerConverterH1219" hidden="1">#REF!</definedName>
    <definedName name="IQRTickerConverterH122" hidden="1">#REF!</definedName>
    <definedName name="IQRTickerConverterH1220" hidden="1">#REF!</definedName>
    <definedName name="IQRTickerConverterH1221" hidden="1">#REF!</definedName>
    <definedName name="IQRTickerConverterH1222" hidden="1">#REF!</definedName>
    <definedName name="IQRTickerConverterH1223" hidden="1">#REF!</definedName>
    <definedName name="IQRTickerConverterH1224" hidden="1">#REF!</definedName>
    <definedName name="IQRTickerConverterH1225" hidden="1">#REF!</definedName>
    <definedName name="IQRTickerConverterH1226" hidden="1">#REF!</definedName>
    <definedName name="IQRTickerConverterH1227" hidden="1">#REF!</definedName>
    <definedName name="IQRTickerConverterH1228" hidden="1">#REF!</definedName>
    <definedName name="IQRTickerConverterH1229" hidden="1">#REF!</definedName>
    <definedName name="IQRTickerConverterH123" hidden="1">#REF!</definedName>
    <definedName name="IQRTickerConverterH1230" hidden="1">#REF!</definedName>
    <definedName name="IQRTickerConverterH1231" hidden="1">#REF!</definedName>
    <definedName name="IQRTickerConverterH1232" hidden="1">#REF!</definedName>
    <definedName name="IQRTickerConverterH1233" hidden="1">#REF!</definedName>
    <definedName name="IQRTickerConverterH1234" hidden="1">#REF!</definedName>
    <definedName name="IQRTickerConverterH1235" hidden="1">#REF!</definedName>
    <definedName name="IQRTickerConverterH1236" hidden="1">#REF!</definedName>
    <definedName name="IQRTickerConverterH1237" hidden="1">#REF!</definedName>
    <definedName name="IQRTickerConverterH1238" hidden="1">#REF!</definedName>
    <definedName name="IQRTickerConverterH1239" hidden="1">#REF!</definedName>
    <definedName name="IQRTickerConverterH124" hidden="1">#REF!</definedName>
    <definedName name="IQRTickerConverterH1240" hidden="1">#REF!</definedName>
    <definedName name="IQRTickerConverterH1241" hidden="1">#REF!</definedName>
    <definedName name="IQRTickerConverterH1242" hidden="1">#REF!</definedName>
    <definedName name="IQRTickerConverterH1243" hidden="1">#REF!</definedName>
    <definedName name="IQRTickerConverterH1244" hidden="1">#REF!</definedName>
    <definedName name="IQRTickerConverterH1245" hidden="1">#REF!</definedName>
    <definedName name="IQRTickerConverterH1246" hidden="1">#REF!</definedName>
    <definedName name="IQRTickerConverterH1247" hidden="1">#REF!</definedName>
    <definedName name="IQRTickerConverterH1248" hidden="1">#REF!</definedName>
    <definedName name="IQRTickerConverterH1249" hidden="1">#REF!</definedName>
    <definedName name="IQRTickerConverterH125" hidden="1">#REF!</definedName>
    <definedName name="IQRTickerConverterH1250" hidden="1">#REF!</definedName>
    <definedName name="IQRTickerConverterH1251" hidden="1">#REF!</definedName>
    <definedName name="IQRTickerConverterH1253" hidden="1">#REF!</definedName>
    <definedName name="IQRTickerConverterH1254" hidden="1">#REF!</definedName>
    <definedName name="IQRTickerConverterH1255" hidden="1">#REF!</definedName>
    <definedName name="IQRTickerConverterH1256" hidden="1">#REF!</definedName>
    <definedName name="IQRTickerConverterH1257" hidden="1">#REF!</definedName>
    <definedName name="IQRTickerConverterH1258" hidden="1">#REF!</definedName>
    <definedName name="IQRTickerConverterH1259" hidden="1">#REF!</definedName>
    <definedName name="IQRTickerConverterH126" hidden="1">#REF!</definedName>
    <definedName name="IQRTickerConverterH1260" hidden="1">#REF!</definedName>
    <definedName name="IQRTickerConverterH1261" hidden="1">#REF!</definedName>
    <definedName name="IQRTickerConverterH1262" hidden="1">#REF!</definedName>
    <definedName name="IQRTickerConverterH1264" hidden="1">#REF!</definedName>
    <definedName name="IQRTickerConverterH1265" hidden="1">#REF!</definedName>
    <definedName name="IQRTickerConverterH1266" hidden="1">#REF!</definedName>
    <definedName name="IQRTickerConverterH1267" hidden="1">#REF!</definedName>
    <definedName name="IQRTickerConverterH1268" hidden="1">#REF!</definedName>
    <definedName name="IQRTickerConverterH1269" hidden="1">#REF!</definedName>
    <definedName name="IQRTickerConverterH127" hidden="1">#REF!</definedName>
    <definedName name="IQRTickerConverterH1270" hidden="1">#REF!</definedName>
    <definedName name="IQRTickerConverterH1271" hidden="1">#REF!</definedName>
    <definedName name="IQRTickerConverterH1272" hidden="1">#REF!</definedName>
    <definedName name="IQRTickerConverterH1273" hidden="1">#REF!</definedName>
    <definedName name="IQRTickerConverterH1274" hidden="1">#REF!</definedName>
    <definedName name="IQRTickerConverterH1275" hidden="1">#REF!</definedName>
    <definedName name="IQRTickerConverterH1276" hidden="1">#REF!</definedName>
    <definedName name="IQRTickerConverterH1277" hidden="1">#REF!</definedName>
    <definedName name="IQRTickerConverterH1278" hidden="1">#REF!</definedName>
    <definedName name="IQRTickerConverterH1279" hidden="1">#REF!</definedName>
    <definedName name="IQRTickerConverterH128" hidden="1">#REF!</definedName>
    <definedName name="IQRTickerConverterH1280" hidden="1">#REF!</definedName>
    <definedName name="IQRTickerConverterH1281" hidden="1">#REF!</definedName>
    <definedName name="IQRTickerConverterH1282" hidden="1">#REF!</definedName>
    <definedName name="IQRTickerConverterH1283" hidden="1">#REF!</definedName>
    <definedName name="IQRTickerConverterH1284" hidden="1">#REF!</definedName>
    <definedName name="IQRTickerConverterH1285" hidden="1">#REF!</definedName>
    <definedName name="IQRTickerConverterH1287" hidden="1">#REF!</definedName>
    <definedName name="IQRTickerConverterH1288" hidden="1">#REF!</definedName>
    <definedName name="IQRTickerConverterH1289" hidden="1">#REF!</definedName>
    <definedName name="IQRTickerConverterH129" hidden="1">#REF!</definedName>
    <definedName name="IQRTickerConverterH1290" hidden="1">#REF!</definedName>
    <definedName name="IQRTickerConverterH1292" hidden="1">#REF!</definedName>
    <definedName name="IQRTickerConverterH1293" hidden="1">#REF!</definedName>
    <definedName name="IQRTickerConverterH1294" hidden="1">#REF!</definedName>
    <definedName name="IQRTickerConverterH1295" hidden="1">#REF!</definedName>
    <definedName name="IQRTickerConverterH1296" hidden="1">#REF!</definedName>
    <definedName name="IQRTickerConverterH1297" hidden="1">#REF!</definedName>
    <definedName name="IQRTickerConverterH1298" hidden="1">#REF!</definedName>
    <definedName name="IQRTickerConverterH1299" hidden="1">#REF!</definedName>
    <definedName name="IQRTickerConverterH13" hidden="1">#REF!</definedName>
    <definedName name="IQRTickerConverterH130" hidden="1">#REF!</definedName>
    <definedName name="IQRTickerConverterH1300" hidden="1">#REF!</definedName>
    <definedName name="IQRTickerConverterH1301" hidden="1">#REF!</definedName>
    <definedName name="IQRTickerConverterH1302" hidden="1">#REF!</definedName>
    <definedName name="IQRTickerConverterH1303" hidden="1">#REF!</definedName>
    <definedName name="IQRTickerConverterH1304" hidden="1">#REF!</definedName>
    <definedName name="IQRTickerConverterH1305" hidden="1">#REF!</definedName>
    <definedName name="IQRTickerConverterH1306" hidden="1">#REF!</definedName>
    <definedName name="IQRTickerConverterH1307" hidden="1">#REF!</definedName>
    <definedName name="IQRTickerConverterH1308" hidden="1">#REF!</definedName>
    <definedName name="IQRTickerConverterH1309" hidden="1">#REF!</definedName>
    <definedName name="IQRTickerConverterH131" hidden="1">#REF!</definedName>
    <definedName name="IQRTickerConverterH1310" hidden="1">#REF!</definedName>
    <definedName name="IQRTickerConverterH1311" hidden="1">#REF!</definedName>
    <definedName name="IQRTickerConverterH1312" hidden="1">#REF!</definedName>
    <definedName name="IQRTickerConverterH1313" hidden="1">#REF!</definedName>
    <definedName name="IQRTickerConverterH1314" hidden="1">#REF!</definedName>
    <definedName name="IQRTickerConverterH1315" hidden="1">#REF!</definedName>
    <definedName name="IQRTickerConverterH1316" hidden="1">#REF!</definedName>
    <definedName name="IQRTickerConverterH1317" hidden="1">#REF!</definedName>
    <definedName name="IQRTickerConverterH1318" hidden="1">#REF!</definedName>
    <definedName name="IQRTickerConverterH1319" hidden="1">#REF!</definedName>
    <definedName name="IQRTickerConverterH132" hidden="1">#REF!</definedName>
    <definedName name="IQRTickerConverterH1320" hidden="1">#REF!</definedName>
    <definedName name="IQRTickerConverterH1321" hidden="1">#REF!</definedName>
    <definedName name="IQRTickerConverterH1322" hidden="1">#REF!</definedName>
    <definedName name="IQRTickerConverterH1323" hidden="1">#REF!</definedName>
    <definedName name="IQRTickerConverterH1324" hidden="1">#REF!</definedName>
    <definedName name="IQRTickerConverterH1325" hidden="1">#REF!</definedName>
    <definedName name="IQRTickerConverterH1326" hidden="1">#REF!</definedName>
    <definedName name="IQRTickerConverterH1327" hidden="1">#REF!</definedName>
    <definedName name="IQRTickerConverterH1328" hidden="1">#REF!</definedName>
    <definedName name="IQRTickerConverterH1329" hidden="1">#REF!</definedName>
    <definedName name="IQRTickerConverterH133" hidden="1">#REF!</definedName>
    <definedName name="IQRTickerConverterH1330" hidden="1">#REF!</definedName>
    <definedName name="IQRTickerConverterH1331" hidden="1">#REF!</definedName>
    <definedName name="IQRTickerConverterH1332" hidden="1">#REF!</definedName>
    <definedName name="IQRTickerConverterH1334" hidden="1">#REF!</definedName>
    <definedName name="IQRTickerConverterH1335" hidden="1">#REF!</definedName>
    <definedName name="IQRTickerConverterH1336" hidden="1">#REF!</definedName>
    <definedName name="IQRTickerConverterH1338" hidden="1">#REF!</definedName>
    <definedName name="IQRTickerConverterH134" hidden="1">#REF!</definedName>
    <definedName name="IQRTickerConverterH1340" hidden="1">#REF!</definedName>
    <definedName name="IQRTickerConverterH1342" hidden="1">#REF!</definedName>
    <definedName name="IQRTickerConverterH1343" hidden="1">#REF!</definedName>
    <definedName name="IQRTickerConverterH1344" hidden="1">#REF!</definedName>
    <definedName name="IQRTickerConverterH1345" hidden="1">#REF!</definedName>
    <definedName name="IQRTickerConverterH1346" hidden="1">#REF!</definedName>
    <definedName name="IQRTickerConverterH1347" hidden="1">#REF!</definedName>
    <definedName name="IQRTickerConverterH1348" hidden="1">#REF!</definedName>
    <definedName name="IQRTickerConverterH1349" hidden="1">#REF!</definedName>
    <definedName name="IQRTickerConverterH135" hidden="1">#REF!</definedName>
    <definedName name="IQRTickerConverterH1350" hidden="1">#REF!</definedName>
    <definedName name="IQRTickerConverterH1351" hidden="1">#REF!</definedName>
    <definedName name="IQRTickerConverterH1352" hidden="1">#REF!</definedName>
    <definedName name="IQRTickerConverterH1353" hidden="1">#REF!</definedName>
    <definedName name="IQRTickerConverterH1355" hidden="1">#REF!</definedName>
    <definedName name="IQRTickerConverterH1356" hidden="1">#REF!</definedName>
    <definedName name="IQRTickerConverterH1357" hidden="1">#REF!</definedName>
    <definedName name="IQRTickerConverterH1358" hidden="1">#REF!</definedName>
    <definedName name="IQRTickerConverterH1359" hidden="1">#REF!</definedName>
    <definedName name="IQRTickerConverterH136" hidden="1">#REF!</definedName>
    <definedName name="IQRTickerConverterH1360" hidden="1">#REF!</definedName>
    <definedName name="IQRTickerConverterH1361" hidden="1">#REF!</definedName>
    <definedName name="IQRTickerConverterH1364" hidden="1">#REF!</definedName>
    <definedName name="IQRTickerConverterH1365" hidden="1">#REF!</definedName>
    <definedName name="IQRTickerConverterH1366" hidden="1">#REF!</definedName>
    <definedName name="IQRTickerConverterH1367" hidden="1">#REF!</definedName>
    <definedName name="IQRTickerConverterH1368" hidden="1">#REF!</definedName>
    <definedName name="IQRTickerConverterH1369" hidden="1">#REF!</definedName>
    <definedName name="IQRTickerConverterH137" hidden="1">#REF!</definedName>
    <definedName name="IQRTickerConverterH1370" hidden="1">#REF!</definedName>
    <definedName name="IQRTickerConverterH1371" hidden="1">#REF!</definedName>
    <definedName name="IQRTickerConverterH1372" hidden="1">#REF!</definedName>
    <definedName name="IQRTickerConverterH1373" hidden="1">#REF!</definedName>
    <definedName name="IQRTickerConverterH1374" hidden="1">#REF!</definedName>
    <definedName name="IQRTickerConverterH1375" hidden="1">#REF!</definedName>
    <definedName name="IQRTickerConverterH1376" hidden="1">#REF!</definedName>
    <definedName name="IQRTickerConverterH1377" hidden="1">#REF!</definedName>
    <definedName name="IQRTickerConverterH1378" hidden="1">#REF!</definedName>
    <definedName name="IQRTickerConverterH1379" hidden="1">#REF!</definedName>
    <definedName name="IQRTickerConverterH138" hidden="1">#REF!</definedName>
    <definedName name="IQRTickerConverterH1380" hidden="1">#REF!</definedName>
    <definedName name="IQRTickerConverterH1381" hidden="1">#REF!</definedName>
    <definedName name="IQRTickerConverterH1382" hidden="1">#REF!</definedName>
    <definedName name="IQRTickerConverterH1383" hidden="1">#REF!</definedName>
    <definedName name="IQRTickerConverterH1384" hidden="1">#REF!</definedName>
    <definedName name="IQRTickerConverterH1385" hidden="1">#REF!</definedName>
    <definedName name="IQRTickerConverterH1386" hidden="1">#REF!</definedName>
    <definedName name="IQRTickerConverterH1388" hidden="1">#REF!</definedName>
    <definedName name="IQRTickerConverterH1389" hidden="1">#REF!</definedName>
    <definedName name="IQRTickerConverterH139" hidden="1">#REF!</definedName>
    <definedName name="IQRTickerConverterH1390" hidden="1">#REF!</definedName>
    <definedName name="IQRTickerConverterH1391" hidden="1">#REF!</definedName>
    <definedName name="IQRTickerConverterH1392" hidden="1">#REF!</definedName>
    <definedName name="IQRTickerConverterH1393" hidden="1">#REF!</definedName>
    <definedName name="IQRTickerConverterH1394" hidden="1">#REF!</definedName>
    <definedName name="IQRTickerConverterH1395" hidden="1">#REF!</definedName>
    <definedName name="IQRTickerConverterH1396" hidden="1">#REF!</definedName>
    <definedName name="IQRTickerConverterH1397" hidden="1">#REF!</definedName>
    <definedName name="IQRTickerConverterH1398" hidden="1">#REF!</definedName>
    <definedName name="IQRTickerConverterH1399" hidden="1">#REF!</definedName>
    <definedName name="IQRTickerConverterH14" hidden="1">#REF!</definedName>
    <definedName name="IQRTickerConverterH140" hidden="1">#REF!</definedName>
    <definedName name="IQRTickerConverterH1400" hidden="1">#REF!</definedName>
    <definedName name="IQRTickerConverterH1401" hidden="1">#REF!</definedName>
    <definedName name="IQRTickerConverterH1402" hidden="1">#REF!</definedName>
    <definedName name="IQRTickerConverterH1403" hidden="1">#REF!</definedName>
    <definedName name="IQRTickerConverterH1404" hidden="1">#REF!</definedName>
    <definedName name="IQRTickerConverterH1405" hidden="1">#REF!</definedName>
    <definedName name="IQRTickerConverterH1406" hidden="1">#REF!</definedName>
    <definedName name="IQRTickerConverterH1407" hidden="1">#REF!</definedName>
    <definedName name="IQRTickerConverterH1408" hidden="1">#REF!</definedName>
    <definedName name="IQRTickerConverterH1409" hidden="1">#REF!</definedName>
    <definedName name="IQRTickerConverterH141" hidden="1">#REF!</definedName>
    <definedName name="IQRTickerConverterH1410" hidden="1">#REF!</definedName>
    <definedName name="IQRTickerConverterH1411" hidden="1">#REF!</definedName>
    <definedName name="IQRTickerConverterH1412" hidden="1">#REF!</definedName>
    <definedName name="IQRTickerConverterH1413" hidden="1">#REF!</definedName>
    <definedName name="IQRTickerConverterH1414" hidden="1">#REF!</definedName>
    <definedName name="IQRTickerConverterH1415" hidden="1">#REF!</definedName>
    <definedName name="IQRTickerConverterH1416" hidden="1">#REF!</definedName>
    <definedName name="IQRTickerConverterH1417" hidden="1">#REF!</definedName>
    <definedName name="IQRTickerConverterH1418" hidden="1">#REF!</definedName>
    <definedName name="IQRTickerConverterH1419" hidden="1">#REF!</definedName>
    <definedName name="IQRTickerConverterH142" hidden="1">#REF!</definedName>
    <definedName name="IQRTickerConverterH1420" hidden="1">#REF!</definedName>
    <definedName name="IQRTickerConverterH1421" hidden="1">#REF!</definedName>
    <definedName name="IQRTickerConverterH1422" hidden="1">#REF!</definedName>
    <definedName name="IQRTickerConverterH1423" hidden="1">#REF!</definedName>
    <definedName name="IQRTickerConverterH1425" hidden="1">#REF!</definedName>
    <definedName name="IQRTickerConverterH1426" hidden="1">#REF!</definedName>
    <definedName name="IQRTickerConverterH1427" hidden="1">#REF!</definedName>
    <definedName name="IQRTickerConverterH1428" hidden="1">#REF!</definedName>
    <definedName name="IQRTickerConverterH1429" hidden="1">#REF!</definedName>
    <definedName name="IQRTickerConverterH143" hidden="1">#REF!</definedName>
    <definedName name="IQRTickerConverterH1430" hidden="1">#REF!</definedName>
    <definedName name="IQRTickerConverterH1431" hidden="1">#REF!</definedName>
    <definedName name="IQRTickerConverterH1432" hidden="1">#REF!</definedName>
    <definedName name="IQRTickerConverterH1433" hidden="1">#REF!</definedName>
    <definedName name="IQRTickerConverterH1434" hidden="1">#REF!</definedName>
    <definedName name="IQRTickerConverterH1435" hidden="1">#REF!</definedName>
    <definedName name="IQRTickerConverterH1436" hidden="1">#REF!</definedName>
    <definedName name="IQRTickerConverterH1438" hidden="1">#REF!</definedName>
    <definedName name="IQRTickerConverterH1439" hidden="1">#REF!</definedName>
    <definedName name="IQRTickerConverterH144" hidden="1">#REF!</definedName>
    <definedName name="IQRTickerConverterH1440" hidden="1">#REF!</definedName>
    <definedName name="IQRTickerConverterH1441" hidden="1">#REF!</definedName>
    <definedName name="IQRTickerConverterH1442" hidden="1">#REF!</definedName>
    <definedName name="IQRTickerConverterH1443" hidden="1">#REF!</definedName>
    <definedName name="IQRTickerConverterH1444" hidden="1">#REF!</definedName>
    <definedName name="IQRTickerConverterH1445" hidden="1">#REF!</definedName>
    <definedName name="IQRTickerConverterH1446" hidden="1">#REF!</definedName>
    <definedName name="IQRTickerConverterH1447" hidden="1">#REF!</definedName>
    <definedName name="IQRTickerConverterH1448" hidden="1">#REF!</definedName>
    <definedName name="IQRTickerConverterH1449" hidden="1">#REF!</definedName>
    <definedName name="IQRTickerConverterH145" hidden="1">#REF!</definedName>
    <definedName name="IQRTickerConverterH1450" hidden="1">#REF!</definedName>
    <definedName name="IQRTickerConverterH1451" hidden="1">#REF!</definedName>
    <definedName name="IQRTickerConverterH1452" hidden="1">#REF!</definedName>
    <definedName name="IQRTickerConverterH1453" hidden="1">#REF!</definedName>
    <definedName name="IQRTickerConverterH1454" hidden="1">#REF!</definedName>
    <definedName name="IQRTickerConverterH1455" hidden="1">#REF!</definedName>
    <definedName name="IQRTickerConverterH1456" hidden="1">#REF!</definedName>
    <definedName name="IQRTickerConverterH1457" hidden="1">#REF!</definedName>
    <definedName name="IQRTickerConverterH1458" hidden="1">#REF!</definedName>
    <definedName name="IQRTickerConverterH1459" hidden="1">#REF!</definedName>
    <definedName name="IQRTickerConverterH146" hidden="1">#REF!</definedName>
    <definedName name="IQRTickerConverterH1460" hidden="1">#REF!</definedName>
    <definedName name="IQRTickerConverterH1461" hidden="1">#REF!</definedName>
    <definedName name="IQRTickerConverterH1462" hidden="1">#REF!</definedName>
    <definedName name="IQRTickerConverterH1463" hidden="1">#REF!</definedName>
    <definedName name="IQRTickerConverterH1464" hidden="1">#REF!</definedName>
    <definedName name="IQRTickerConverterH1465" hidden="1">#REF!</definedName>
    <definedName name="IQRTickerConverterH1466" hidden="1">#REF!</definedName>
    <definedName name="IQRTickerConverterH1467" hidden="1">#REF!</definedName>
    <definedName name="IQRTickerConverterH1468" hidden="1">#REF!</definedName>
    <definedName name="IQRTickerConverterH1469" hidden="1">#REF!</definedName>
    <definedName name="IQRTickerConverterH147" hidden="1">#REF!</definedName>
    <definedName name="IQRTickerConverterH1470" hidden="1">#REF!</definedName>
    <definedName name="IQRTickerConverterH1471" hidden="1">#REF!</definedName>
    <definedName name="IQRTickerConverterH1472" hidden="1">#REF!</definedName>
    <definedName name="IQRTickerConverterH1473" hidden="1">#REF!</definedName>
    <definedName name="IQRTickerConverterH1474" hidden="1">#REF!</definedName>
    <definedName name="IQRTickerConverterH1475" hidden="1">#REF!</definedName>
    <definedName name="IQRTickerConverterH1476" hidden="1">#REF!</definedName>
    <definedName name="IQRTickerConverterH1477" hidden="1">#REF!</definedName>
    <definedName name="IQRTickerConverterH1478" hidden="1">#REF!</definedName>
    <definedName name="IQRTickerConverterH1479" hidden="1">#REF!</definedName>
    <definedName name="IQRTickerConverterH148" hidden="1">#REF!</definedName>
    <definedName name="IQRTickerConverterH1480" hidden="1">#REF!</definedName>
    <definedName name="IQRTickerConverterH1481" hidden="1">#REF!</definedName>
    <definedName name="IQRTickerConverterH1482" hidden="1">#REF!</definedName>
    <definedName name="IQRTickerConverterH1483" hidden="1">#REF!</definedName>
    <definedName name="IQRTickerConverterH1484" hidden="1">#REF!</definedName>
    <definedName name="IQRTickerConverterH1485" hidden="1">#REF!</definedName>
    <definedName name="IQRTickerConverterH1486" hidden="1">#REF!</definedName>
    <definedName name="IQRTickerConverterH1488" hidden="1">#REF!</definedName>
    <definedName name="IQRTickerConverterH1489" hidden="1">#REF!</definedName>
    <definedName name="IQRTickerConverterH149" hidden="1">#REF!</definedName>
    <definedName name="IQRTickerConverterH1490" hidden="1">#REF!</definedName>
    <definedName name="IQRTickerConverterH1491" hidden="1">#REF!</definedName>
    <definedName name="IQRTickerConverterH1492" hidden="1">#REF!</definedName>
    <definedName name="IQRTickerConverterH1493" hidden="1">#REF!</definedName>
    <definedName name="IQRTickerConverterH1495" hidden="1">#REF!</definedName>
    <definedName name="IQRTickerConverterH1496" hidden="1">#REF!</definedName>
    <definedName name="IQRTickerConverterH1497" hidden="1">#REF!</definedName>
    <definedName name="IQRTickerConverterH1498" hidden="1">#REF!</definedName>
    <definedName name="IQRTickerConverterH1499" hidden="1">#REF!</definedName>
    <definedName name="IQRTickerConverterH15" hidden="1">#REF!</definedName>
    <definedName name="IQRTickerConverterH150" hidden="1">#REF!</definedName>
    <definedName name="IQRTickerConverterH1502" hidden="1">#REF!</definedName>
    <definedName name="IQRTickerConverterH1503" hidden="1">#REF!</definedName>
    <definedName name="IQRTickerConverterH1504" hidden="1">#REF!</definedName>
    <definedName name="IQRTickerConverterH1505" hidden="1">#REF!</definedName>
    <definedName name="IQRTickerConverterH1506" hidden="1">#REF!</definedName>
    <definedName name="IQRTickerConverterH1507" hidden="1">#REF!</definedName>
    <definedName name="IQRTickerConverterH1508" hidden="1">#REF!</definedName>
    <definedName name="IQRTickerConverterH1509" hidden="1">#REF!</definedName>
    <definedName name="IQRTickerConverterH151" hidden="1">#REF!</definedName>
    <definedName name="IQRTickerConverterH1510" hidden="1">#REF!</definedName>
    <definedName name="IQRTickerConverterH1511" hidden="1">#REF!</definedName>
    <definedName name="IQRTickerConverterH1512" hidden="1">#REF!</definedName>
    <definedName name="IQRTickerConverterH1513" hidden="1">#REF!</definedName>
    <definedName name="IQRTickerConverterH1514" hidden="1">#REF!</definedName>
    <definedName name="IQRTickerConverterH1515" hidden="1">#REF!</definedName>
    <definedName name="IQRTickerConverterH1516" hidden="1">#REF!</definedName>
    <definedName name="IQRTickerConverterH1517" hidden="1">#REF!</definedName>
    <definedName name="IQRTickerConverterH1518" hidden="1">#REF!</definedName>
    <definedName name="IQRTickerConverterH1519" hidden="1">#REF!</definedName>
    <definedName name="IQRTickerConverterH152" hidden="1">#REF!</definedName>
    <definedName name="IQRTickerConverterH1520" hidden="1">#REF!</definedName>
    <definedName name="IQRTickerConverterH1521" hidden="1">#REF!</definedName>
    <definedName name="IQRTickerConverterH1522" hidden="1">#REF!</definedName>
    <definedName name="IQRTickerConverterH1523" hidden="1">#REF!</definedName>
    <definedName name="IQRTickerConverterH1524" hidden="1">#REF!</definedName>
    <definedName name="IQRTickerConverterH1526" hidden="1">#REF!</definedName>
    <definedName name="IQRTickerConverterH1527" hidden="1">#REF!</definedName>
    <definedName name="IQRTickerConverterH1528" hidden="1">#REF!</definedName>
    <definedName name="IQRTickerConverterH1529" hidden="1">#REF!</definedName>
    <definedName name="IQRTickerConverterH153" hidden="1">#REF!</definedName>
    <definedName name="IQRTickerConverterH1530" hidden="1">#REF!</definedName>
    <definedName name="IQRTickerConverterH1531" hidden="1">#REF!</definedName>
    <definedName name="IQRTickerConverterH1532" hidden="1">#REF!</definedName>
    <definedName name="IQRTickerConverterH1533" hidden="1">#REF!</definedName>
    <definedName name="IQRTickerConverterH1534" hidden="1">#REF!</definedName>
    <definedName name="IQRTickerConverterH1536" hidden="1">#REF!</definedName>
    <definedName name="IQRTickerConverterH1537" hidden="1">#REF!</definedName>
    <definedName name="IQRTickerConverterH1538" hidden="1">#REF!</definedName>
    <definedName name="IQRTickerConverterH1539" hidden="1">#REF!</definedName>
    <definedName name="IQRTickerConverterH154" hidden="1">#REF!</definedName>
    <definedName name="IQRTickerConverterH1540" hidden="1">#REF!</definedName>
    <definedName name="IQRTickerConverterH1541" hidden="1">#REF!</definedName>
    <definedName name="IQRTickerConverterH1542" hidden="1">#REF!</definedName>
    <definedName name="IQRTickerConverterH1543" hidden="1">#REF!</definedName>
    <definedName name="IQRTickerConverterH1544" hidden="1">#REF!</definedName>
    <definedName name="IQRTickerConverterH1545" hidden="1">#REF!</definedName>
    <definedName name="IQRTickerConverterH1546" hidden="1">#REF!</definedName>
    <definedName name="IQRTickerConverterH1547" hidden="1">#REF!</definedName>
    <definedName name="IQRTickerConverterH1548" hidden="1">#REF!</definedName>
    <definedName name="IQRTickerConverterH1549" hidden="1">#REF!</definedName>
    <definedName name="IQRTickerConverterH155" hidden="1">#REF!</definedName>
    <definedName name="IQRTickerConverterH1551" hidden="1">#REF!</definedName>
    <definedName name="IQRTickerConverterH1552" hidden="1">#REF!</definedName>
    <definedName name="IQRTickerConverterH1553" hidden="1">#REF!</definedName>
    <definedName name="IQRTickerConverterH1554" hidden="1">#REF!</definedName>
    <definedName name="IQRTickerConverterH1555" hidden="1">#REF!</definedName>
    <definedName name="IQRTickerConverterH1556" hidden="1">#REF!</definedName>
    <definedName name="IQRTickerConverterH1557" hidden="1">#REF!</definedName>
    <definedName name="IQRTickerConverterH1558" hidden="1">#REF!</definedName>
    <definedName name="IQRTickerConverterH1559" hidden="1">#REF!</definedName>
    <definedName name="IQRTickerConverterH156" hidden="1">#REF!</definedName>
    <definedName name="IQRTickerConverterH1560" hidden="1">#REF!</definedName>
    <definedName name="IQRTickerConverterH1562" hidden="1">#REF!</definedName>
    <definedName name="IQRTickerConverterH1563" hidden="1">#REF!</definedName>
    <definedName name="IQRTickerConverterH1564" hidden="1">#REF!</definedName>
    <definedName name="IQRTickerConverterH1565" hidden="1">#REF!</definedName>
    <definedName name="IQRTickerConverterH1566" hidden="1">#REF!</definedName>
    <definedName name="IQRTickerConverterH1567" hidden="1">#REF!</definedName>
    <definedName name="IQRTickerConverterH1568" hidden="1">#REF!</definedName>
    <definedName name="IQRTickerConverterH1569" hidden="1">#REF!</definedName>
    <definedName name="IQRTickerConverterH157" hidden="1">#REF!</definedName>
    <definedName name="IQRTickerConverterH1570" hidden="1">#REF!</definedName>
    <definedName name="IQRTickerConverterH1571" hidden="1">#REF!</definedName>
    <definedName name="IQRTickerConverterH1572" hidden="1">#REF!</definedName>
    <definedName name="IQRTickerConverterH1573" hidden="1">#REF!</definedName>
    <definedName name="IQRTickerConverterH1574" hidden="1">#REF!</definedName>
    <definedName name="IQRTickerConverterH1575" hidden="1">#REF!</definedName>
    <definedName name="IQRTickerConverterH1576" hidden="1">#REF!</definedName>
    <definedName name="IQRTickerConverterH1577" hidden="1">#REF!</definedName>
    <definedName name="IQRTickerConverterH1578" hidden="1">#REF!</definedName>
    <definedName name="IQRTickerConverterH1579" hidden="1">#REF!</definedName>
    <definedName name="IQRTickerConverterH158" hidden="1">#REF!</definedName>
    <definedName name="IQRTickerConverterH1580" hidden="1">#REF!</definedName>
    <definedName name="IQRTickerConverterH1581" hidden="1">#REF!</definedName>
    <definedName name="IQRTickerConverterH1582" hidden="1">#REF!</definedName>
    <definedName name="IQRTickerConverterH1584" hidden="1">#REF!</definedName>
    <definedName name="IQRTickerConverterH1585" hidden="1">#REF!</definedName>
    <definedName name="IQRTickerConverterH1586" hidden="1">#REF!</definedName>
    <definedName name="IQRTickerConverterH1588" hidden="1">#REF!</definedName>
    <definedName name="IQRTickerConverterH1589" hidden="1">#REF!</definedName>
    <definedName name="IQRTickerConverterH159" hidden="1">#REF!</definedName>
    <definedName name="IQRTickerConverterH1590" hidden="1">#REF!</definedName>
    <definedName name="IQRTickerConverterH1591" hidden="1">#REF!</definedName>
    <definedName name="IQRTickerConverterH1592" hidden="1">#REF!</definedName>
    <definedName name="IQRTickerConverterH1593" hidden="1">#REF!</definedName>
    <definedName name="IQRTickerConverterH1594" hidden="1">#REF!</definedName>
    <definedName name="IQRTickerConverterH1595" hidden="1">#REF!</definedName>
    <definedName name="IQRTickerConverterH1596" hidden="1">#REF!</definedName>
    <definedName name="IQRTickerConverterH1597" hidden="1">#REF!</definedName>
    <definedName name="IQRTickerConverterH1598" hidden="1">#REF!</definedName>
    <definedName name="IQRTickerConverterH1599" hidden="1">#REF!</definedName>
    <definedName name="IQRTickerConverterH16" hidden="1">#REF!</definedName>
    <definedName name="IQRTickerConverterH160" hidden="1">#REF!</definedName>
    <definedName name="IQRTickerConverterH1600" hidden="1">#REF!</definedName>
    <definedName name="IQRTickerConverterH1602" hidden="1">#REF!</definedName>
    <definedName name="IQRTickerConverterH1603" hidden="1">#REF!</definedName>
    <definedName name="IQRTickerConverterH1604" hidden="1">#REF!</definedName>
    <definedName name="IQRTickerConverterH1605" hidden="1">#REF!</definedName>
    <definedName name="IQRTickerConverterH1606" hidden="1">#REF!</definedName>
    <definedName name="IQRTickerConverterH1607" hidden="1">#REF!</definedName>
    <definedName name="IQRTickerConverterH1608" hidden="1">#REF!</definedName>
    <definedName name="IQRTickerConverterH1609" hidden="1">#REF!</definedName>
    <definedName name="IQRTickerConverterH161" hidden="1">#REF!</definedName>
    <definedName name="IQRTickerConverterH1610" hidden="1">#REF!</definedName>
    <definedName name="IQRTickerConverterH1611" hidden="1">#REF!</definedName>
    <definedName name="IQRTickerConverterH1612" hidden="1">#REF!</definedName>
    <definedName name="IQRTickerConverterH1613" hidden="1">#REF!</definedName>
    <definedName name="IQRTickerConverterH1614" hidden="1">#REF!</definedName>
    <definedName name="IQRTickerConverterH1615" hidden="1">#REF!</definedName>
    <definedName name="IQRTickerConverterH1616" hidden="1">#REF!</definedName>
    <definedName name="IQRTickerConverterH1617" hidden="1">#REF!</definedName>
    <definedName name="IQRTickerConverterH1618" hidden="1">#REF!</definedName>
    <definedName name="IQRTickerConverterH1619" hidden="1">#REF!</definedName>
    <definedName name="IQRTickerConverterH162" hidden="1">#REF!</definedName>
    <definedName name="IQRTickerConverterH1620" hidden="1">#REF!</definedName>
    <definedName name="IQRTickerConverterH1621" hidden="1">#REF!</definedName>
    <definedName name="IQRTickerConverterH1622" hidden="1">#REF!</definedName>
    <definedName name="IQRTickerConverterH1623" hidden="1">#REF!</definedName>
    <definedName name="IQRTickerConverterH1624" hidden="1">#REF!</definedName>
    <definedName name="IQRTickerConverterH1625" hidden="1">#REF!</definedName>
    <definedName name="IQRTickerConverterH1626" hidden="1">#REF!</definedName>
    <definedName name="IQRTickerConverterH1627" hidden="1">#REF!</definedName>
    <definedName name="IQRTickerConverterH1628" hidden="1">#REF!</definedName>
    <definedName name="IQRTickerConverterH1629" hidden="1">#REF!</definedName>
    <definedName name="IQRTickerConverterH163" hidden="1">#REF!</definedName>
    <definedName name="IQRTickerConverterH1630" hidden="1">#REF!</definedName>
    <definedName name="IQRTickerConverterH1631" hidden="1">#REF!</definedName>
    <definedName name="IQRTickerConverterH1632" hidden="1">#REF!</definedName>
    <definedName name="IQRTickerConverterH1633" hidden="1">#REF!</definedName>
    <definedName name="IQRTickerConverterH1634" hidden="1">#REF!</definedName>
    <definedName name="IQRTickerConverterH1635" hidden="1">#REF!</definedName>
    <definedName name="IQRTickerConverterH1636" hidden="1">#REF!</definedName>
    <definedName name="IQRTickerConverterH1637" hidden="1">#REF!</definedName>
    <definedName name="IQRTickerConverterH1638" hidden="1">#REF!</definedName>
    <definedName name="IQRTickerConverterH1639" hidden="1">#REF!</definedName>
    <definedName name="IQRTickerConverterH164" hidden="1">#REF!</definedName>
    <definedName name="IQRTickerConverterH1640" hidden="1">#REF!</definedName>
    <definedName name="IQRTickerConverterH1641" hidden="1">#REF!</definedName>
    <definedName name="IQRTickerConverterH1642" hidden="1">#REF!</definedName>
    <definedName name="IQRTickerConverterH1643" hidden="1">#REF!</definedName>
    <definedName name="IQRTickerConverterH1644" hidden="1">#REF!</definedName>
    <definedName name="IQRTickerConverterH1645" hidden="1">#REF!</definedName>
    <definedName name="IQRTickerConverterH1646" hidden="1">#REF!</definedName>
    <definedName name="IQRTickerConverterH1647" hidden="1">#REF!</definedName>
    <definedName name="IQRTickerConverterH1648" hidden="1">#REF!</definedName>
    <definedName name="IQRTickerConverterH1649" hidden="1">#REF!</definedName>
    <definedName name="IQRTickerConverterH165" hidden="1">#REF!</definedName>
    <definedName name="IQRTickerConverterH1650" hidden="1">#REF!</definedName>
    <definedName name="IQRTickerConverterH1651" hidden="1">#REF!</definedName>
    <definedName name="IQRTickerConverterH1652" hidden="1">#REF!</definedName>
    <definedName name="IQRTickerConverterH1653" hidden="1">#REF!</definedName>
    <definedName name="IQRTickerConverterH1654" hidden="1">#REF!</definedName>
    <definedName name="IQRTickerConverterH1655" hidden="1">#REF!</definedName>
    <definedName name="IQRTickerConverterH1657" hidden="1">#REF!</definedName>
    <definedName name="IQRTickerConverterH1658" hidden="1">#REF!</definedName>
    <definedName name="IQRTickerConverterH1659" hidden="1">#REF!</definedName>
    <definedName name="IQRTickerConverterH166" hidden="1">#REF!</definedName>
    <definedName name="IQRTickerConverterH1660" hidden="1">#REF!</definedName>
    <definedName name="IQRTickerConverterH1661" hidden="1">#REF!</definedName>
    <definedName name="IQRTickerConverterH1662" hidden="1">#REF!</definedName>
    <definedName name="IQRTickerConverterH1663" hidden="1">#REF!</definedName>
    <definedName name="IQRTickerConverterH1664" hidden="1">#REF!</definedName>
    <definedName name="IQRTickerConverterH1665" hidden="1">#REF!</definedName>
    <definedName name="IQRTickerConverterH1667" hidden="1">#REF!</definedName>
    <definedName name="IQRTickerConverterH1669" hidden="1">#REF!</definedName>
    <definedName name="IQRTickerConverterH167" hidden="1">#REF!</definedName>
    <definedName name="IQRTickerConverterH1670" hidden="1">#REF!</definedName>
    <definedName name="IQRTickerConverterH1671" hidden="1">#REF!</definedName>
    <definedName name="IQRTickerConverterH1672" hidden="1">#REF!</definedName>
    <definedName name="IQRTickerConverterH1673" hidden="1">#REF!</definedName>
    <definedName name="IQRTickerConverterH1674" hidden="1">#REF!</definedName>
    <definedName name="IQRTickerConverterH1675" hidden="1">#REF!</definedName>
    <definedName name="IQRTickerConverterH1676" hidden="1">#REF!</definedName>
    <definedName name="IQRTickerConverterH1677" hidden="1">#REF!</definedName>
    <definedName name="IQRTickerConverterH1678" hidden="1">#REF!</definedName>
    <definedName name="IQRTickerConverterH1679" hidden="1">#REF!</definedName>
    <definedName name="IQRTickerConverterH168" hidden="1">#REF!</definedName>
    <definedName name="IQRTickerConverterH1680" hidden="1">#REF!</definedName>
    <definedName name="IQRTickerConverterH1681" hidden="1">#REF!</definedName>
    <definedName name="IQRTickerConverterH1682" hidden="1">#REF!</definedName>
    <definedName name="IQRTickerConverterH1683" hidden="1">#REF!</definedName>
    <definedName name="IQRTickerConverterH1684" hidden="1">#REF!</definedName>
    <definedName name="IQRTickerConverterH1685" hidden="1">#REF!</definedName>
    <definedName name="IQRTickerConverterH1686" hidden="1">#REF!</definedName>
    <definedName name="IQRTickerConverterH1687" hidden="1">#REF!</definedName>
    <definedName name="IQRTickerConverterH1688" hidden="1">#REF!</definedName>
    <definedName name="IQRTickerConverterH1689" hidden="1">#REF!</definedName>
    <definedName name="IQRTickerConverterH169" hidden="1">#REF!</definedName>
    <definedName name="IQRTickerConverterH1690" hidden="1">#REF!</definedName>
    <definedName name="IQRTickerConverterH1691" hidden="1">#REF!</definedName>
    <definedName name="IQRTickerConverterH1692" hidden="1">#REF!</definedName>
    <definedName name="IQRTickerConverterH1693" hidden="1">#REF!</definedName>
    <definedName name="IQRTickerConverterH1694" hidden="1">#REF!</definedName>
    <definedName name="IQRTickerConverterH1695" hidden="1">#REF!</definedName>
    <definedName name="IQRTickerConverterH1696" hidden="1">#REF!</definedName>
    <definedName name="IQRTickerConverterH1697" hidden="1">#REF!</definedName>
    <definedName name="IQRTickerConverterH1698" hidden="1">#REF!</definedName>
    <definedName name="IQRTickerConverterH1699" hidden="1">#REF!</definedName>
    <definedName name="IQRTickerConverterH17" hidden="1">#REF!</definedName>
    <definedName name="IQRTickerConverterH170" hidden="1">#REF!</definedName>
    <definedName name="IQRTickerConverterH1702" hidden="1">#REF!</definedName>
    <definedName name="IQRTickerConverterH1703" hidden="1">#REF!</definedName>
    <definedName name="IQRTickerConverterH1705" hidden="1">#REF!</definedName>
    <definedName name="IQRTickerConverterH1706" hidden="1">#REF!</definedName>
    <definedName name="IQRTickerConverterH1707" hidden="1">#REF!</definedName>
    <definedName name="IQRTickerConverterH1709" hidden="1">#REF!</definedName>
    <definedName name="IQRTickerConverterH171" hidden="1">#REF!</definedName>
    <definedName name="IQRTickerConverterH1710" hidden="1">#REF!</definedName>
    <definedName name="IQRTickerConverterH1711" hidden="1">#REF!</definedName>
    <definedName name="IQRTickerConverterH1712" hidden="1">#REF!</definedName>
    <definedName name="IQRTickerConverterH1713" hidden="1">#REF!</definedName>
    <definedName name="IQRTickerConverterH1714" hidden="1">#REF!</definedName>
    <definedName name="IQRTickerConverterH1715" hidden="1">#REF!</definedName>
    <definedName name="IQRTickerConverterH1716" hidden="1">#REF!</definedName>
    <definedName name="IQRTickerConverterH1717" hidden="1">#REF!</definedName>
    <definedName name="IQRTickerConverterH1718" hidden="1">#REF!</definedName>
    <definedName name="IQRTickerConverterH1719" hidden="1">#REF!</definedName>
    <definedName name="IQRTickerConverterH172" hidden="1">#REF!</definedName>
    <definedName name="IQRTickerConverterH1720" hidden="1">#REF!</definedName>
    <definedName name="IQRTickerConverterH1721" hidden="1">#REF!</definedName>
    <definedName name="IQRTickerConverterH1722" hidden="1">#REF!</definedName>
    <definedName name="IQRTickerConverterH1723" hidden="1">#REF!</definedName>
    <definedName name="IQRTickerConverterH1724" hidden="1">#REF!</definedName>
    <definedName name="IQRTickerConverterH1725" hidden="1">#REF!</definedName>
    <definedName name="IQRTickerConverterH1726" hidden="1">#REF!</definedName>
    <definedName name="IQRTickerConverterH1727" hidden="1">#REF!</definedName>
    <definedName name="IQRTickerConverterH1728" hidden="1">#REF!</definedName>
    <definedName name="IQRTickerConverterH1729" hidden="1">#REF!</definedName>
    <definedName name="IQRTickerConverterH173" hidden="1">#REF!</definedName>
    <definedName name="IQRTickerConverterH1730" hidden="1">#REF!</definedName>
    <definedName name="IQRTickerConverterH1731" hidden="1">#REF!</definedName>
    <definedName name="IQRTickerConverterH1732" hidden="1">#REF!</definedName>
    <definedName name="IQRTickerConverterH1735" hidden="1">#REF!</definedName>
    <definedName name="IQRTickerConverterH1736" hidden="1">#REF!</definedName>
    <definedName name="IQRTickerConverterH1737" hidden="1">#REF!</definedName>
    <definedName name="IQRTickerConverterH1738" hidden="1">#REF!</definedName>
    <definedName name="IQRTickerConverterH1739" hidden="1">#REF!</definedName>
    <definedName name="IQRTickerConverterH174" hidden="1">#REF!</definedName>
    <definedName name="IQRTickerConverterH1740" hidden="1">#REF!</definedName>
    <definedName name="IQRTickerConverterH1741" hidden="1">#REF!</definedName>
    <definedName name="IQRTickerConverterH1742" hidden="1">#REF!</definedName>
    <definedName name="IQRTickerConverterH1743" hidden="1">#REF!</definedName>
    <definedName name="IQRTickerConverterH1744" hidden="1">#REF!</definedName>
    <definedName name="IQRTickerConverterH1745" hidden="1">#REF!</definedName>
    <definedName name="IQRTickerConverterH1746" hidden="1">#REF!</definedName>
    <definedName name="IQRTickerConverterH1747" hidden="1">#REF!</definedName>
    <definedName name="IQRTickerConverterH1749" hidden="1">#REF!</definedName>
    <definedName name="IQRTickerConverterH175" hidden="1">#REF!</definedName>
    <definedName name="IQRTickerConverterH1750" hidden="1">#REF!</definedName>
    <definedName name="IQRTickerConverterH1752" hidden="1">#REF!</definedName>
    <definedName name="IQRTickerConverterH1753" hidden="1">#REF!</definedName>
    <definedName name="IQRTickerConverterH1754" hidden="1">#REF!</definedName>
    <definedName name="IQRTickerConverterH1755" hidden="1">#REF!</definedName>
    <definedName name="IQRTickerConverterH1756" hidden="1">#REF!</definedName>
    <definedName name="IQRTickerConverterH1757" hidden="1">#REF!</definedName>
    <definedName name="IQRTickerConverterH1758" hidden="1">#REF!</definedName>
    <definedName name="IQRTickerConverterH1759" hidden="1">#REF!</definedName>
    <definedName name="IQRTickerConverterH176" hidden="1">#REF!</definedName>
    <definedName name="IQRTickerConverterH1760" hidden="1">#REF!</definedName>
    <definedName name="IQRTickerConverterH1761" hidden="1">#REF!</definedName>
    <definedName name="IQRTickerConverterH1762" hidden="1">#REF!</definedName>
    <definedName name="IQRTickerConverterH1763" hidden="1">#REF!</definedName>
    <definedName name="IQRTickerConverterH1764" hidden="1">#REF!</definedName>
    <definedName name="IQRTickerConverterH1765" hidden="1">#REF!</definedName>
    <definedName name="IQRTickerConverterH1766" hidden="1">#REF!</definedName>
    <definedName name="IQRTickerConverterH1767" hidden="1">#REF!</definedName>
    <definedName name="IQRTickerConverterH1768" hidden="1">#REF!</definedName>
    <definedName name="IQRTickerConverterH177" hidden="1">#REF!</definedName>
    <definedName name="IQRTickerConverterH1771" hidden="1">#REF!</definedName>
    <definedName name="IQRTickerConverterH1772" hidden="1">#REF!</definedName>
    <definedName name="IQRTickerConverterH1773" hidden="1">#REF!</definedName>
    <definedName name="IQRTickerConverterH1774" hidden="1">#REF!</definedName>
    <definedName name="IQRTickerConverterH1775" hidden="1">#REF!</definedName>
    <definedName name="IQRTickerConverterH1776" hidden="1">#REF!</definedName>
    <definedName name="IQRTickerConverterH1777" hidden="1">#REF!</definedName>
    <definedName name="IQRTickerConverterH1779" hidden="1">#REF!</definedName>
    <definedName name="IQRTickerConverterH178" hidden="1">#REF!</definedName>
    <definedName name="IQRTickerConverterH1780" hidden="1">#REF!</definedName>
    <definedName name="IQRTickerConverterH1781" hidden="1">#REF!</definedName>
    <definedName name="IQRTickerConverterH1782" hidden="1">#REF!</definedName>
    <definedName name="IQRTickerConverterH1783" hidden="1">#REF!</definedName>
    <definedName name="IQRTickerConverterH1784" hidden="1">#REF!</definedName>
    <definedName name="IQRTickerConverterH1785" hidden="1">#REF!</definedName>
    <definedName name="IQRTickerConverterH1786" hidden="1">#REF!</definedName>
    <definedName name="IQRTickerConverterH1787" hidden="1">#REF!</definedName>
    <definedName name="IQRTickerConverterH1788" hidden="1">#REF!</definedName>
    <definedName name="IQRTickerConverterH1789" hidden="1">#REF!</definedName>
    <definedName name="IQRTickerConverterH179" hidden="1">#REF!</definedName>
    <definedName name="IQRTickerConverterH1790" hidden="1">#REF!</definedName>
    <definedName name="IQRTickerConverterH1791" hidden="1">#REF!</definedName>
    <definedName name="IQRTickerConverterH1792" hidden="1">#REF!</definedName>
    <definedName name="IQRTickerConverterH1793" hidden="1">#REF!</definedName>
    <definedName name="IQRTickerConverterH1794" hidden="1">#REF!</definedName>
    <definedName name="IQRTickerConverterH1795" hidden="1">#REF!</definedName>
    <definedName name="IQRTickerConverterH1796" hidden="1">#REF!</definedName>
    <definedName name="IQRTickerConverterH1797" hidden="1">#REF!</definedName>
    <definedName name="IQRTickerConverterH1798" hidden="1">#REF!</definedName>
    <definedName name="IQRTickerConverterH1799" hidden="1">#REF!</definedName>
    <definedName name="IQRTickerConverterH18" hidden="1">#REF!</definedName>
    <definedName name="IQRTickerConverterH180" hidden="1">#REF!</definedName>
    <definedName name="IQRTickerConverterH1800" hidden="1">#REF!</definedName>
    <definedName name="IQRTickerConverterH1801" hidden="1">#REF!</definedName>
    <definedName name="IQRTickerConverterH1802" hidden="1">#REF!</definedName>
    <definedName name="IQRTickerConverterH1803" hidden="1">#REF!</definedName>
    <definedName name="IQRTickerConverterH1804" hidden="1">#REF!</definedName>
    <definedName name="IQRTickerConverterH1805" hidden="1">#REF!</definedName>
    <definedName name="IQRTickerConverterH1806" hidden="1">#REF!</definedName>
    <definedName name="IQRTickerConverterH1807" hidden="1">#REF!</definedName>
    <definedName name="IQRTickerConverterH1808" hidden="1">#REF!</definedName>
    <definedName name="IQRTickerConverterH1809" hidden="1">#REF!</definedName>
    <definedName name="IQRTickerConverterH181" hidden="1">#REF!</definedName>
    <definedName name="IQRTickerConverterH1811" hidden="1">#REF!</definedName>
    <definedName name="IQRTickerConverterH1812" hidden="1">#REF!</definedName>
    <definedName name="IQRTickerConverterH1813" hidden="1">#REF!</definedName>
    <definedName name="IQRTickerConverterH1814" hidden="1">#REF!</definedName>
    <definedName name="IQRTickerConverterH1815" hidden="1">#REF!</definedName>
    <definedName name="IQRTickerConverterH1816" hidden="1">#REF!</definedName>
    <definedName name="IQRTickerConverterH1817" hidden="1">#REF!</definedName>
    <definedName name="IQRTickerConverterH1818" hidden="1">#REF!</definedName>
    <definedName name="IQRTickerConverterH1819" hidden="1">#REF!</definedName>
    <definedName name="IQRTickerConverterH182" hidden="1">#REF!</definedName>
    <definedName name="IQRTickerConverterH1820" hidden="1">#REF!</definedName>
    <definedName name="IQRTickerConverterH1821" hidden="1">#REF!</definedName>
    <definedName name="IQRTickerConverterH1822" hidden="1">#REF!</definedName>
    <definedName name="IQRTickerConverterH1823" hidden="1">#REF!</definedName>
    <definedName name="IQRTickerConverterH1824" hidden="1">#REF!</definedName>
    <definedName name="IQRTickerConverterH1825" hidden="1">#REF!</definedName>
    <definedName name="IQRTickerConverterH1826" hidden="1">#REF!</definedName>
    <definedName name="IQRTickerConverterH1827" hidden="1">#REF!</definedName>
    <definedName name="IQRTickerConverterH1828" hidden="1">#REF!</definedName>
    <definedName name="IQRTickerConverterH183" hidden="1">#REF!</definedName>
    <definedName name="IQRTickerConverterH1830" hidden="1">#REF!</definedName>
    <definedName name="IQRTickerConverterH1831" hidden="1">#REF!</definedName>
    <definedName name="IQRTickerConverterH1832" hidden="1">#REF!</definedName>
    <definedName name="IQRTickerConverterH1833" hidden="1">#REF!</definedName>
    <definedName name="IQRTickerConverterH1834" hidden="1">#REF!</definedName>
    <definedName name="IQRTickerConverterH1835" hidden="1">#REF!</definedName>
    <definedName name="IQRTickerConverterH1836" hidden="1">#REF!</definedName>
    <definedName name="IQRTickerConverterH1837" hidden="1">#REF!</definedName>
    <definedName name="IQRTickerConverterH1838" hidden="1">#REF!</definedName>
    <definedName name="IQRTickerConverterH1839" hidden="1">#REF!</definedName>
    <definedName name="IQRTickerConverterH184" hidden="1">#REF!</definedName>
    <definedName name="IQRTickerConverterH1840" hidden="1">#REF!</definedName>
    <definedName name="IQRTickerConverterH1841" hidden="1">#REF!</definedName>
    <definedName name="IQRTickerConverterH1842" hidden="1">#REF!</definedName>
    <definedName name="IQRTickerConverterH1843" hidden="1">#REF!</definedName>
    <definedName name="IQRTickerConverterH1844" hidden="1">#REF!</definedName>
    <definedName name="IQRTickerConverterH1846" hidden="1">#REF!</definedName>
    <definedName name="IQRTickerConverterH1847" hidden="1">#REF!</definedName>
    <definedName name="IQRTickerConverterH1848" hidden="1">#REF!</definedName>
    <definedName name="IQRTickerConverterH1849" hidden="1">#REF!</definedName>
    <definedName name="IQRTickerConverterH185" hidden="1">#REF!</definedName>
    <definedName name="IQRTickerConverterH1850" hidden="1">#REF!</definedName>
    <definedName name="IQRTickerConverterH1851" hidden="1">#REF!</definedName>
    <definedName name="IQRTickerConverterH1852" hidden="1">#REF!</definedName>
    <definedName name="IQRTickerConverterH1853" hidden="1">#REF!</definedName>
    <definedName name="IQRTickerConverterH1854" hidden="1">#REF!</definedName>
    <definedName name="IQRTickerConverterH1855" hidden="1">#REF!</definedName>
    <definedName name="IQRTickerConverterH1856" hidden="1">#REF!</definedName>
    <definedName name="IQRTickerConverterH1857" hidden="1">#REF!</definedName>
    <definedName name="IQRTickerConverterH1858" hidden="1">#REF!</definedName>
    <definedName name="IQRTickerConverterH1859" hidden="1">#REF!</definedName>
    <definedName name="IQRTickerConverterH186" hidden="1">#REF!</definedName>
    <definedName name="IQRTickerConverterH1860" hidden="1">#REF!</definedName>
    <definedName name="IQRTickerConverterH1861" hidden="1">#REF!</definedName>
    <definedName name="IQRTickerConverterH1862" hidden="1">#REF!</definedName>
    <definedName name="IQRTickerConverterH1863" hidden="1">#REF!</definedName>
    <definedName name="IQRTickerConverterH1864" hidden="1">#REF!</definedName>
    <definedName name="IQRTickerConverterH1865" hidden="1">#REF!</definedName>
    <definedName name="IQRTickerConverterH1866" hidden="1">#REF!</definedName>
    <definedName name="IQRTickerConverterH1867" hidden="1">#REF!</definedName>
    <definedName name="IQRTickerConverterH1868" hidden="1">#REF!</definedName>
    <definedName name="IQRTickerConverterH187" hidden="1">#REF!</definedName>
    <definedName name="IQRTickerConverterH1870" hidden="1">#REF!</definedName>
    <definedName name="IQRTickerConverterH1871" hidden="1">#REF!</definedName>
    <definedName name="IQRTickerConverterH1872" hidden="1">#REF!</definedName>
    <definedName name="IQRTickerConverterH1873" hidden="1">#REF!</definedName>
    <definedName name="IQRTickerConverterH1874" hidden="1">#REF!</definedName>
    <definedName name="IQRTickerConverterH1875" hidden="1">#REF!</definedName>
    <definedName name="IQRTickerConverterH1876" hidden="1">#REF!</definedName>
    <definedName name="IQRTickerConverterH1877" hidden="1">#REF!</definedName>
    <definedName name="IQRTickerConverterH1878" hidden="1">#REF!</definedName>
    <definedName name="IQRTickerConverterH1879" hidden="1">#REF!</definedName>
    <definedName name="IQRTickerConverterH1880" hidden="1">#REF!</definedName>
    <definedName name="IQRTickerConverterH1881" hidden="1">#REF!</definedName>
    <definedName name="IQRTickerConverterH1882" hidden="1">#REF!</definedName>
    <definedName name="IQRTickerConverterH1883" hidden="1">#REF!</definedName>
    <definedName name="IQRTickerConverterH1884" hidden="1">#REF!</definedName>
    <definedName name="IQRTickerConverterH1885" hidden="1">#REF!</definedName>
    <definedName name="IQRTickerConverterH1886" hidden="1">#REF!</definedName>
    <definedName name="IQRTickerConverterH1887" hidden="1">#REF!</definedName>
    <definedName name="IQRTickerConverterH1888" hidden="1">#REF!</definedName>
    <definedName name="IQRTickerConverterH1889" hidden="1">#REF!</definedName>
    <definedName name="IQRTickerConverterH189" hidden="1">#REF!</definedName>
    <definedName name="IQRTickerConverterH1892" hidden="1">#REF!</definedName>
    <definedName name="IQRTickerConverterH1893" hidden="1">#REF!</definedName>
    <definedName name="IQRTickerConverterH1894" hidden="1">#REF!</definedName>
    <definedName name="IQRTickerConverterH1895" hidden="1">#REF!</definedName>
    <definedName name="IQRTickerConverterH1896" hidden="1">#REF!</definedName>
    <definedName name="IQRTickerConverterH1897" hidden="1">#REF!</definedName>
    <definedName name="IQRTickerConverterH1898" hidden="1">#REF!</definedName>
    <definedName name="IQRTickerConverterH1899" hidden="1">#REF!</definedName>
    <definedName name="IQRTickerConverterH19" hidden="1">#REF!</definedName>
    <definedName name="IQRTickerConverterH190" hidden="1">#REF!</definedName>
    <definedName name="IQRTickerConverterH1900" hidden="1">#REF!</definedName>
    <definedName name="IQRTickerConverterH1901" hidden="1">#REF!</definedName>
    <definedName name="IQRTickerConverterH1902" hidden="1">#REF!</definedName>
    <definedName name="IQRTickerConverterH1903" hidden="1">#REF!</definedName>
    <definedName name="IQRTickerConverterH191" hidden="1">#REF!</definedName>
    <definedName name="IQRTickerConverterH192" hidden="1">#REF!</definedName>
    <definedName name="IQRTickerConverterH193" hidden="1">#REF!</definedName>
    <definedName name="IQRTickerConverterH194" hidden="1">#REF!</definedName>
    <definedName name="IQRTickerConverterH195" hidden="1">#REF!</definedName>
    <definedName name="IQRTickerConverterH196" hidden="1">#REF!</definedName>
    <definedName name="IQRTickerConverterH197" hidden="1">#REF!</definedName>
    <definedName name="IQRTickerConverterH198" hidden="1">#REF!</definedName>
    <definedName name="IQRTickerConverterH199" hidden="1">#REF!</definedName>
    <definedName name="IQRTickerConverterH20" hidden="1">#REF!</definedName>
    <definedName name="IQRTickerConverterH201" hidden="1">#REF!</definedName>
    <definedName name="IQRTickerConverterH203" hidden="1">#REF!</definedName>
    <definedName name="IQRTickerConverterH204" hidden="1">#REF!</definedName>
    <definedName name="IQRTickerConverterH205" hidden="1">#REF!</definedName>
    <definedName name="IQRTickerConverterH206" hidden="1">#REF!</definedName>
    <definedName name="IQRTickerConverterH208" hidden="1">#REF!</definedName>
    <definedName name="IQRTickerConverterH209" hidden="1">#REF!</definedName>
    <definedName name="IQRTickerConverterH21" hidden="1">#REF!</definedName>
    <definedName name="IQRTickerConverterH210" hidden="1">#REF!</definedName>
    <definedName name="IQRTickerConverterH211" hidden="1">#REF!</definedName>
    <definedName name="IQRTickerConverterH212" hidden="1">#REF!</definedName>
    <definedName name="IQRTickerConverterH213" hidden="1">#REF!</definedName>
    <definedName name="IQRTickerConverterH215" hidden="1">#REF!</definedName>
    <definedName name="IQRTickerConverterH216" hidden="1">#REF!</definedName>
    <definedName name="IQRTickerConverterH217" hidden="1">#REF!</definedName>
    <definedName name="IQRTickerConverterH218" hidden="1">#REF!</definedName>
    <definedName name="IQRTickerConverterH219" hidden="1">#REF!</definedName>
    <definedName name="IQRTickerConverterH22" hidden="1">#REF!</definedName>
    <definedName name="IQRTickerConverterH220" hidden="1">#REF!</definedName>
    <definedName name="IQRTickerConverterH221" hidden="1">#REF!</definedName>
    <definedName name="IQRTickerConverterH222" hidden="1">#REF!</definedName>
    <definedName name="IQRTickerConverterH223" hidden="1">#REF!</definedName>
    <definedName name="IQRTickerConverterH224" hidden="1">#REF!</definedName>
    <definedName name="IQRTickerConverterH225" hidden="1">#REF!</definedName>
    <definedName name="IQRTickerConverterH226" hidden="1">#REF!</definedName>
    <definedName name="IQRTickerConverterH227" hidden="1">#REF!</definedName>
    <definedName name="IQRTickerConverterH228" hidden="1">#REF!</definedName>
    <definedName name="IQRTickerConverterH229" hidden="1">#REF!</definedName>
    <definedName name="IQRTickerConverterH23" hidden="1">#REF!</definedName>
    <definedName name="IQRTickerConverterH230" hidden="1">#REF!</definedName>
    <definedName name="IQRTickerConverterH231" hidden="1">#REF!</definedName>
    <definedName name="IQRTickerConverterH232" hidden="1">#REF!</definedName>
    <definedName name="IQRTickerConverterH233" hidden="1">#REF!</definedName>
    <definedName name="IQRTickerConverterH234" hidden="1">#REF!</definedName>
    <definedName name="IQRTickerConverterH235" hidden="1">#REF!</definedName>
    <definedName name="IQRTickerConverterH238" hidden="1">#REF!</definedName>
    <definedName name="IQRTickerConverterH239" hidden="1">#REF!</definedName>
    <definedName name="IQRTickerConverterH24" hidden="1">#REF!</definedName>
    <definedName name="IQRTickerConverterH240" hidden="1">#REF!</definedName>
    <definedName name="IQRTickerConverterH241" hidden="1">#REF!</definedName>
    <definedName name="IQRTickerConverterH242" hidden="1">#REF!</definedName>
    <definedName name="IQRTickerConverterH243" hidden="1">#REF!</definedName>
    <definedName name="IQRTickerConverterH244" hidden="1">#REF!</definedName>
    <definedName name="IQRTickerConverterH245" hidden="1">#REF!</definedName>
    <definedName name="IQRTickerConverterH246" hidden="1">#REF!</definedName>
    <definedName name="IQRTickerConverterH247" hidden="1">#REF!</definedName>
    <definedName name="IQRTickerConverterH248" hidden="1">#REF!</definedName>
    <definedName name="IQRTickerConverterH249" hidden="1">#REF!</definedName>
    <definedName name="IQRTickerConverterH25" hidden="1">#REF!</definedName>
    <definedName name="IQRTickerConverterH250" hidden="1">#REF!</definedName>
    <definedName name="IQRTickerConverterH251" hidden="1">#REF!</definedName>
    <definedName name="IQRTickerConverterH252" hidden="1">#REF!</definedName>
    <definedName name="IQRTickerConverterH253" hidden="1">#REF!</definedName>
    <definedName name="IQRTickerConverterH255" hidden="1">#REF!</definedName>
    <definedName name="IQRTickerConverterH256" hidden="1">#REF!</definedName>
    <definedName name="IQRTickerConverterH257" hidden="1">#REF!</definedName>
    <definedName name="IQRTickerConverterH259" hidden="1">#REF!</definedName>
    <definedName name="IQRTickerConverterH26" hidden="1">#REF!</definedName>
    <definedName name="IQRTickerConverterH261" hidden="1">#REF!</definedName>
    <definedName name="IQRTickerConverterH262" hidden="1">#REF!</definedName>
    <definedName name="IQRTickerConverterH263" hidden="1">#REF!</definedName>
    <definedName name="IQRTickerConverterH264" hidden="1">#REF!</definedName>
    <definedName name="IQRTickerConverterH265" hidden="1">#REF!</definedName>
    <definedName name="IQRTickerConverterH266" hidden="1">#REF!</definedName>
    <definedName name="IQRTickerConverterH267" hidden="1">#REF!</definedName>
    <definedName name="IQRTickerConverterH268" hidden="1">#REF!</definedName>
    <definedName name="IQRTickerConverterH269" hidden="1">#REF!</definedName>
    <definedName name="IQRTickerConverterH27" hidden="1">#REF!</definedName>
    <definedName name="IQRTickerConverterH270" hidden="1">#REF!</definedName>
    <definedName name="IQRTickerConverterH271" hidden="1">#REF!</definedName>
    <definedName name="IQRTickerConverterH272" hidden="1">#REF!</definedName>
    <definedName name="IQRTickerConverterH273" hidden="1">#REF!</definedName>
    <definedName name="IQRTickerConverterH274" hidden="1">#REF!</definedName>
    <definedName name="IQRTickerConverterH275" hidden="1">#REF!</definedName>
    <definedName name="IQRTickerConverterH276" hidden="1">#REF!</definedName>
    <definedName name="IQRTickerConverterH277" hidden="1">#REF!</definedName>
    <definedName name="IQRTickerConverterH278" hidden="1">#REF!</definedName>
    <definedName name="IQRTickerConverterH279" hidden="1">#REF!</definedName>
    <definedName name="IQRTickerConverterH28" hidden="1">#REF!</definedName>
    <definedName name="IQRTickerConverterH280" hidden="1">#REF!</definedName>
    <definedName name="IQRTickerConverterH281" hidden="1">#REF!</definedName>
    <definedName name="IQRTickerConverterH282" hidden="1">#REF!</definedName>
    <definedName name="IQRTickerConverterH283" hidden="1">#REF!</definedName>
    <definedName name="IQRTickerConverterH284" hidden="1">#REF!</definedName>
    <definedName name="IQRTickerConverterH286" hidden="1">#REF!</definedName>
    <definedName name="IQRTickerConverterH287" hidden="1">#REF!</definedName>
    <definedName name="IQRTickerConverterH288" hidden="1">#REF!</definedName>
    <definedName name="IQRTickerConverterH289" hidden="1">#REF!</definedName>
    <definedName name="IQRTickerConverterH29" hidden="1">#REF!</definedName>
    <definedName name="IQRTickerConverterH290" hidden="1">#REF!</definedName>
    <definedName name="IQRTickerConverterH291" hidden="1">#REF!</definedName>
    <definedName name="IQRTickerConverterH292" hidden="1">#REF!</definedName>
    <definedName name="IQRTickerConverterH293" hidden="1">#REF!</definedName>
    <definedName name="IQRTickerConverterH294" hidden="1">#REF!</definedName>
    <definedName name="IQRTickerConverterH295" hidden="1">#REF!</definedName>
    <definedName name="IQRTickerConverterH296" hidden="1">#REF!</definedName>
    <definedName name="IQRTickerConverterH298" hidden="1">#REF!</definedName>
    <definedName name="IQRTickerConverterH299" hidden="1">#REF!</definedName>
    <definedName name="IQRTickerConverterH30" hidden="1">#REF!</definedName>
    <definedName name="IQRTickerConverterH300" hidden="1">#REF!</definedName>
    <definedName name="IQRTickerConverterH301" hidden="1">#REF!</definedName>
    <definedName name="IQRTickerConverterH303" hidden="1">#REF!</definedName>
    <definedName name="IQRTickerConverterH304" hidden="1">#REF!</definedName>
    <definedName name="IQRTickerConverterH305" hidden="1">#REF!</definedName>
    <definedName name="IQRTickerConverterH306" hidden="1">#REF!</definedName>
    <definedName name="IQRTickerConverterH307" hidden="1">#REF!</definedName>
    <definedName name="IQRTickerConverterH309" hidden="1">#REF!</definedName>
    <definedName name="IQRTickerConverterH31" hidden="1">#REF!</definedName>
    <definedName name="IQRTickerConverterH310" hidden="1">#REF!</definedName>
    <definedName name="IQRTickerConverterH312" hidden="1">#REF!</definedName>
    <definedName name="IQRTickerConverterH314" hidden="1">#REF!</definedName>
    <definedName name="IQRTickerConverterH315" hidden="1">#REF!</definedName>
    <definedName name="IQRTickerConverterH316" hidden="1">#REF!</definedName>
    <definedName name="IQRTickerConverterH317" hidden="1">#REF!</definedName>
    <definedName name="IQRTickerConverterH318" hidden="1">#REF!</definedName>
    <definedName name="IQRTickerConverterH319" hidden="1">#REF!</definedName>
    <definedName name="IQRTickerConverterH32" hidden="1">#REF!</definedName>
    <definedName name="IQRTickerConverterH320" hidden="1">#REF!</definedName>
    <definedName name="IQRTickerConverterH321" hidden="1">#REF!</definedName>
    <definedName name="IQRTickerConverterH322" hidden="1">#REF!</definedName>
    <definedName name="IQRTickerConverterH323" hidden="1">#REF!</definedName>
    <definedName name="IQRTickerConverterH324" hidden="1">#REF!</definedName>
    <definedName name="IQRTickerConverterH325" hidden="1">#REF!</definedName>
    <definedName name="IQRTickerConverterH326" hidden="1">#REF!</definedName>
    <definedName name="IQRTickerConverterH327" hidden="1">#REF!</definedName>
    <definedName name="IQRTickerConverterH328" hidden="1">#REF!</definedName>
    <definedName name="IQRTickerConverterH329" hidden="1">#REF!</definedName>
    <definedName name="IQRTickerConverterH33" hidden="1">#REF!</definedName>
    <definedName name="IQRTickerConverterH330" hidden="1">#REF!</definedName>
    <definedName name="IQRTickerConverterH331" hidden="1">#REF!</definedName>
    <definedName name="IQRTickerConverterH332" hidden="1">#REF!</definedName>
    <definedName name="IQRTickerConverterH333" hidden="1">#REF!</definedName>
    <definedName name="IQRTickerConverterH334" hidden="1">#REF!</definedName>
    <definedName name="IQRTickerConverterH335" hidden="1">#REF!</definedName>
    <definedName name="IQRTickerConverterH336" hidden="1">#REF!</definedName>
    <definedName name="IQRTickerConverterH337" hidden="1">#REF!</definedName>
    <definedName name="IQRTickerConverterH338" hidden="1">#REF!</definedName>
    <definedName name="IQRTickerConverterH339" hidden="1">#REF!</definedName>
    <definedName name="IQRTickerConverterH341" hidden="1">#REF!</definedName>
    <definedName name="IQRTickerConverterH342" hidden="1">#REF!</definedName>
    <definedName name="IQRTickerConverterH343" hidden="1">#REF!</definedName>
    <definedName name="IQRTickerConverterH344" hidden="1">#REF!</definedName>
    <definedName name="IQRTickerConverterH345" hidden="1">#REF!</definedName>
    <definedName name="IQRTickerConverterH346" hidden="1">#REF!</definedName>
    <definedName name="IQRTickerConverterH347" hidden="1">#REF!</definedName>
    <definedName name="IQRTickerConverterH348" hidden="1">#REF!</definedName>
    <definedName name="IQRTickerConverterH349" hidden="1">#REF!</definedName>
    <definedName name="IQRTickerConverterH35" hidden="1">#REF!</definedName>
    <definedName name="IQRTickerConverterH350" hidden="1">#REF!</definedName>
    <definedName name="IQRTickerConverterH351" hidden="1">#REF!</definedName>
    <definedName name="IQRTickerConverterH352" hidden="1">#REF!</definedName>
    <definedName name="IQRTickerConverterH353" hidden="1">#REF!</definedName>
    <definedName name="IQRTickerConverterH354" hidden="1">#REF!</definedName>
    <definedName name="IQRTickerConverterH355" hidden="1">#REF!</definedName>
    <definedName name="IQRTickerConverterH356" hidden="1">#REF!</definedName>
    <definedName name="IQRTickerConverterH357" hidden="1">#REF!</definedName>
    <definedName name="IQRTickerConverterH358" hidden="1">#REF!</definedName>
    <definedName name="IQRTickerConverterH359" hidden="1">#REF!</definedName>
    <definedName name="IQRTickerConverterH36" hidden="1">#REF!</definedName>
    <definedName name="IQRTickerConverterH360" hidden="1">#REF!</definedName>
    <definedName name="IQRTickerConverterH361" hidden="1">#REF!</definedName>
    <definedName name="IQRTickerConverterH363" hidden="1">#REF!</definedName>
    <definedName name="IQRTickerConverterH364" hidden="1">#REF!</definedName>
    <definedName name="IQRTickerConverterH365" hidden="1">#REF!</definedName>
    <definedName name="IQRTickerConverterH366" hidden="1">#REF!</definedName>
    <definedName name="IQRTickerConverterH367" hidden="1">#REF!</definedName>
    <definedName name="IQRTickerConverterH368" hidden="1">#REF!</definedName>
    <definedName name="IQRTickerConverterH369" hidden="1">#REF!</definedName>
    <definedName name="IQRTickerConverterH37" hidden="1">#REF!</definedName>
    <definedName name="IQRTickerConverterH370" hidden="1">#REF!</definedName>
    <definedName name="IQRTickerConverterH371" hidden="1">#REF!</definedName>
    <definedName name="IQRTickerConverterH372" hidden="1">#REF!</definedName>
    <definedName name="IQRTickerConverterH373" hidden="1">#REF!</definedName>
    <definedName name="IQRTickerConverterH374" hidden="1">#REF!</definedName>
    <definedName name="IQRTickerConverterH376" hidden="1">#REF!</definedName>
    <definedName name="IQRTickerConverterH377" hidden="1">#REF!</definedName>
    <definedName name="IQRTickerConverterH378" hidden="1">#REF!</definedName>
    <definedName name="IQRTickerConverterH379" hidden="1">#REF!</definedName>
    <definedName name="IQRTickerConverterH38" hidden="1">#REF!</definedName>
    <definedName name="IQRTickerConverterH380" hidden="1">#REF!</definedName>
    <definedName name="IQRTickerConverterH381" hidden="1">#REF!</definedName>
    <definedName name="IQRTickerConverterH383" hidden="1">#REF!</definedName>
    <definedName name="IQRTickerConverterH384" hidden="1">#REF!</definedName>
    <definedName name="IQRTickerConverterH385" hidden="1">#REF!</definedName>
    <definedName name="IQRTickerConverterH386" hidden="1">#REF!</definedName>
    <definedName name="IQRTickerConverterH387" hidden="1">#REF!</definedName>
    <definedName name="IQRTickerConverterH388" hidden="1">#REF!</definedName>
    <definedName name="IQRTickerConverterH389" hidden="1">#REF!</definedName>
    <definedName name="IQRTickerConverterH39" hidden="1">#REF!</definedName>
    <definedName name="IQRTickerConverterH390" hidden="1">#REF!</definedName>
    <definedName name="IQRTickerConverterH391" hidden="1">#REF!</definedName>
    <definedName name="IQRTickerConverterH392" hidden="1">#REF!</definedName>
    <definedName name="IQRTickerConverterH393" hidden="1">#REF!</definedName>
    <definedName name="IQRTickerConverterH394" hidden="1">#REF!</definedName>
    <definedName name="IQRTickerConverterH395" hidden="1">#REF!</definedName>
    <definedName name="IQRTickerConverterH397" hidden="1">#REF!</definedName>
    <definedName name="IQRTickerConverterH398" hidden="1">#REF!</definedName>
    <definedName name="IQRTickerConverterH399" hidden="1">#REF!</definedName>
    <definedName name="IQRTickerConverterH40" hidden="1">#REF!</definedName>
    <definedName name="IQRTickerConverterH400" hidden="1">#REF!</definedName>
    <definedName name="IQRTickerConverterH401" hidden="1">#REF!</definedName>
    <definedName name="IQRTickerConverterH402" hidden="1">#REF!</definedName>
    <definedName name="IQRTickerConverterH403" hidden="1">#REF!</definedName>
    <definedName name="IQRTickerConverterH404" hidden="1">#REF!</definedName>
    <definedName name="IQRTickerConverterH405" hidden="1">#REF!</definedName>
    <definedName name="IQRTickerConverterH406" hidden="1">#REF!</definedName>
    <definedName name="IQRTickerConverterH407" hidden="1">#REF!</definedName>
    <definedName name="IQRTickerConverterH408" hidden="1">#REF!</definedName>
    <definedName name="IQRTickerConverterH409" hidden="1">#REF!</definedName>
    <definedName name="IQRTickerConverterH41" hidden="1">#REF!</definedName>
    <definedName name="IQRTickerConverterH410" hidden="1">#REF!</definedName>
    <definedName name="IQRTickerConverterH411" hidden="1">#REF!</definedName>
    <definedName name="IQRTickerConverterH413" hidden="1">#REF!</definedName>
    <definedName name="IQRTickerConverterH414" hidden="1">#REF!</definedName>
    <definedName name="IQRTickerConverterH415" hidden="1">#REF!</definedName>
    <definedName name="IQRTickerConverterH417" hidden="1">#REF!</definedName>
    <definedName name="IQRTickerConverterH418" hidden="1">#REF!</definedName>
    <definedName name="IQRTickerConverterH419" hidden="1">#REF!</definedName>
    <definedName name="IQRTickerConverterH42" hidden="1">#REF!</definedName>
    <definedName name="IQRTickerConverterH420" hidden="1">#REF!</definedName>
    <definedName name="IQRTickerConverterH421" hidden="1">#REF!</definedName>
    <definedName name="IQRTickerConverterH422" hidden="1">#REF!</definedName>
    <definedName name="IQRTickerConverterH423" hidden="1">#REF!</definedName>
    <definedName name="IQRTickerConverterH424" hidden="1">#REF!</definedName>
    <definedName name="IQRTickerConverterH425" hidden="1">#REF!</definedName>
    <definedName name="IQRTickerConverterH426" hidden="1">#REF!</definedName>
    <definedName name="IQRTickerConverterH427" hidden="1">#REF!</definedName>
    <definedName name="IQRTickerConverterH428" hidden="1">#REF!</definedName>
    <definedName name="IQRTickerConverterH429" hidden="1">#REF!</definedName>
    <definedName name="IQRTickerConverterH43" hidden="1">#REF!</definedName>
    <definedName name="IQRTickerConverterH431" hidden="1">#REF!</definedName>
    <definedName name="IQRTickerConverterH432" hidden="1">#REF!</definedName>
    <definedName name="IQRTickerConverterH433" hidden="1">#REF!</definedName>
    <definedName name="IQRTickerConverterH434" hidden="1">#REF!</definedName>
    <definedName name="IQRTickerConverterH435" hidden="1">#REF!</definedName>
    <definedName name="IQRTickerConverterH436" hidden="1">#REF!</definedName>
    <definedName name="IQRTickerConverterH437" hidden="1">#REF!</definedName>
    <definedName name="IQRTickerConverterH438" hidden="1">#REF!</definedName>
    <definedName name="IQRTickerConverterH439" hidden="1">#REF!</definedName>
    <definedName name="IQRTickerConverterH44" hidden="1">#REF!</definedName>
    <definedName name="IQRTickerConverterH440" hidden="1">#REF!</definedName>
    <definedName name="IQRTickerConverterH441" hidden="1">#REF!</definedName>
    <definedName name="IQRTickerConverterH442" hidden="1">#REF!</definedName>
    <definedName name="IQRTickerConverterH443" hidden="1">#REF!</definedName>
    <definedName name="IQRTickerConverterH444" hidden="1">#REF!</definedName>
    <definedName name="IQRTickerConverterH445" hidden="1">#REF!</definedName>
    <definedName name="IQRTickerConverterH446" hidden="1">#REF!</definedName>
    <definedName name="IQRTickerConverterH447" hidden="1">#REF!</definedName>
    <definedName name="IQRTickerConverterH448" hidden="1">#REF!</definedName>
    <definedName name="IQRTickerConverterH449" hidden="1">#REF!</definedName>
    <definedName name="IQRTickerConverterH45" hidden="1">#REF!</definedName>
    <definedName name="IQRTickerConverterH450" hidden="1">#REF!</definedName>
    <definedName name="IQRTickerConverterH451" hidden="1">#REF!</definedName>
    <definedName name="IQRTickerConverterH452" hidden="1">#REF!</definedName>
    <definedName name="IQRTickerConverterH453" hidden="1">#REF!</definedName>
    <definedName name="IQRTickerConverterH455" hidden="1">#REF!</definedName>
    <definedName name="IQRTickerConverterH456" hidden="1">#REF!</definedName>
    <definedName name="IQRTickerConverterH457" hidden="1">#REF!</definedName>
    <definedName name="IQRTickerConverterH458" hidden="1">#REF!</definedName>
    <definedName name="IQRTickerConverterH459" hidden="1">#REF!</definedName>
    <definedName name="IQRTickerConverterH46" hidden="1">#REF!</definedName>
    <definedName name="IQRTickerConverterH460" hidden="1">#REF!</definedName>
    <definedName name="IQRTickerConverterH461" hidden="1">#REF!</definedName>
    <definedName name="IQRTickerConverterH462" hidden="1">#REF!</definedName>
    <definedName name="IQRTickerConverterH463" hidden="1">#REF!</definedName>
    <definedName name="IQRTickerConverterH464" hidden="1">#REF!</definedName>
    <definedName name="IQRTickerConverterH465" hidden="1">#REF!</definedName>
    <definedName name="IQRTickerConverterH466" hidden="1">#REF!</definedName>
    <definedName name="IQRTickerConverterH467" hidden="1">#REF!</definedName>
    <definedName name="IQRTickerConverterH468" hidden="1">#REF!</definedName>
    <definedName name="IQRTickerConverterH469" hidden="1">#REF!</definedName>
    <definedName name="IQRTickerConverterH47" hidden="1">#REF!</definedName>
    <definedName name="IQRTickerConverterH470" hidden="1">#REF!</definedName>
    <definedName name="IQRTickerConverterH471" hidden="1">#REF!</definedName>
    <definedName name="IQRTickerConverterH472" hidden="1">#REF!</definedName>
    <definedName name="IQRTickerConverterH473" hidden="1">#REF!</definedName>
    <definedName name="IQRTickerConverterH474" hidden="1">#REF!</definedName>
    <definedName name="IQRTickerConverterH475" hidden="1">#REF!</definedName>
    <definedName name="IQRTickerConverterH476" hidden="1">#REF!</definedName>
    <definedName name="IQRTickerConverterH477" hidden="1">#REF!</definedName>
    <definedName name="IQRTickerConverterH478" hidden="1">#REF!</definedName>
    <definedName name="IQRTickerConverterH479" hidden="1">#REF!</definedName>
    <definedName name="IQRTickerConverterH48" hidden="1">#REF!</definedName>
    <definedName name="IQRTickerConverterH480" hidden="1">#REF!</definedName>
    <definedName name="IQRTickerConverterH481" hidden="1">#REF!</definedName>
    <definedName name="IQRTickerConverterH482" hidden="1">#REF!</definedName>
    <definedName name="IQRTickerConverterH483" hidden="1">#REF!</definedName>
    <definedName name="IQRTickerConverterH484" hidden="1">#REF!</definedName>
    <definedName name="IQRTickerConverterH485" hidden="1">#REF!</definedName>
    <definedName name="IQRTickerConverterH486" hidden="1">#REF!</definedName>
    <definedName name="IQRTickerConverterH487" hidden="1">#REF!</definedName>
    <definedName name="IQRTickerConverterH488" hidden="1">#REF!</definedName>
    <definedName name="IQRTickerConverterH489" hidden="1">#REF!</definedName>
    <definedName name="IQRTickerConverterH49" hidden="1">#REF!</definedName>
    <definedName name="IQRTickerConverterH490" hidden="1">#REF!</definedName>
    <definedName name="IQRTickerConverterH491" hidden="1">#REF!</definedName>
    <definedName name="IQRTickerConverterH492" hidden="1">#REF!</definedName>
    <definedName name="IQRTickerConverterH493" hidden="1">#REF!</definedName>
    <definedName name="IQRTickerConverterH494" hidden="1">#REF!</definedName>
    <definedName name="IQRTickerConverterH495" hidden="1">#REF!</definedName>
    <definedName name="IQRTickerConverterH496" hidden="1">#REF!</definedName>
    <definedName name="IQRTickerConverterH497" hidden="1">#REF!</definedName>
    <definedName name="IQRTickerConverterH498" hidden="1">#REF!</definedName>
    <definedName name="IQRTickerConverterH499" hidden="1">#REF!</definedName>
    <definedName name="IQRTickerConverterH5" hidden="1">#REF!</definedName>
    <definedName name="IQRTickerConverterH50" hidden="1">#REF!</definedName>
    <definedName name="IQRTickerConverterH500" hidden="1">#REF!</definedName>
    <definedName name="IQRTickerConverterH501" hidden="1">#REF!</definedName>
    <definedName name="IQRTickerConverterH502" hidden="1">#REF!</definedName>
    <definedName name="IQRTickerConverterH503" hidden="1">#REF!</definedName>
    <definedName name="IQRTickerConverterH504" hidden="1">#REF!</definedName>
    <definedName name="IQRTickerConverterH505" hidden="1">#REF!</definedName>
    <definedName name="IQRTickerConverterH506" hidden="1">#REF!</definedName>
    <definedName name="IQRTickerConverterH507" hidden="1">#REF!</definedName>
    <definedName name="IQRTickerConverterH508" hidden="1">#REF!</definedName>
    <definedName name="IQRTickerConverterH509" hidden="1">#REF!</definedName>
    <definedName name="IQRTickerConverterH51" hidden="1">#REF!</definedName>
    <definedName name="IQRTickerConverterH510" hidden="1">#REF!</definedName>
    <definedName name="IQRTickerConverterH511" hidden="1">#REF!</definedName>
    <definedName name="IQRTickerConverterH512" hidden="1">#REF!</definedName>
    <definedName name="IQRTickerConverterH513" hidden="1">#REF!</definedName>
    <definedName name="IQRTickerConverterH514" hidden="1">#REF!</definedName>
    <definedName name="IQRTickerConverterH515" hidden="1">#REF!</definedName>
    <definedName name="IQRTickerConverterH516" hidden="1">#REF!</definedName>
    <definedName name="IQRTickerConverterH517" hidden="1">#REF!</definedName>
    <definedName name="IQRTickerConverterH518" hidden="1">#REF!</definedName>
    <definedName name="IQRTickerConverterH519" hidden="1">#REF!</definedName>
    <definedName name="IQRTickerConverterH52" hidden="1">#REF!</definedName>
    <definedName name="IQRTickerConverterH521" hidden="1">#REF!</definedName>
    <definedName name="IQRTickerConverterH522" hidden="1">#REF!</definedName>
    <definedName name="IQRTickerConverterH523" hidden="1">#REF!</definedName>
    <definedName name="IQRTickerConverterH524" hidden="1">#REF!</definedName>
    <definedName name="IQRTickerConverterH525" hidden="1">#REF!</definedName>
    <definedName name="IQRTickerConverterH526" hidden="1">#REF!</definedName>
    <definedName name="IQRTickerConverterH527" hidden="1">#REF!</definedName>
    <definedName name="IQRTickerConverterH528" hidden="1">#REF!</definedName>
    <definedName name="IQRTickerConverterH529" hidden="1">#REF!</definedName>
    <definedName name="IQRTickerConverterH53" hidden="1">#REF!</definedName>
    <definedName name="IQRTickerConverterH530" hidden="1">#REF!</definedName>
    <definedName name="IQRTickerConverterH532" hidden="1">#REF!</definedName>
    <definedName name="IQRTickerConverterH533" hidden="1">#REF!</definedName>
    <definedName name="IQRTickerConverterH534" hidden="1">#REF!</definedName>
    <definedName name="IQRTickerConverterH535" hidden="1">#REF!</definedName>
    <definedName name="IQRTickerConverterH536" hidden="1">#REF!</definedName>
    <definedName name="IQRTickerConverterH538" hidden="1">#REF!</definedName>
    <definedName name="IQRTickerConverterH539" hidden="1">#REF!</definedName>
    <definedName name="IQRTickerConverterH54" hidden="1">#REF!</definedName>
    <definedName name="IQRTickerConverterH540" hidden="1">#REF!</definedName>
    <definedName name="IQRTickerConverterH541" hidden="1">#REF!</definedName>
    <definedName name="IQRTickerConverterH542" hidden="1">#REF!</definedName>
    <definedName name="IQRTickerConverterH543" hidden="1">#REF!</definedName>
    <definedName name="IQRTickerConverterH544" hidden="1">#REF!</definedName>
    <definedName name="IQRTickerConverterH545" hidden="1">#REF!</definedName>
    <definedName name="IQRTickerConverterH546" hidden="1">#REF!</definedName>
    <definedName name="IQRTickerConverterH547" hidden="1">#REF!</definedName>
    <definedName name="IQRTickerConverterH548" hidden="1">#REF!</definedName>
    <definedName name="IQRTickerConverterH549" hidden="1">#REF!</definedName>
    <definedName name="IQRTickerConverterH55" hidden="1">#REF!</definedName>
    <definedName name="IQRTickerConverterH550" hidden="1">#REF!</definedName>
    <definedName name="IQRTickerConverterH552" hidden="1">#REF!</definedName>
    <definedName name="IQRTickerConverterH553" hidden="1">#REF!</definedName>
    <definedName name="IQRTickerConverterH554" hidden="1">#REF!</definedName>
    <definedName name="IQRTickerConverterH555" hidden="1">#REF!</definedName>
    <definedName name="IQRTickerConverterH556" hidden="1">#REF!</definedName>
    <definedName name="IQRTickerConverterH557" hidden="1">#REF!</definedName>
    <definedName name="IQRTickerConverterH558" hidden="1">#REF!</definedName>
    <definedName name="IQRTickerConverterH559" hidden="1">#REF!</definedName>
    <definedName name="IQRTickerConverterH560" hidden="1">#REF!</definedName>
    <definedName name="IQRTickerConverterH562" hidden="1">#REF!</definedName>
    <definedName name="IQRTickerConverterH563" hidden="1">#REF!</definedName>
    <definedName name="IQRTickerConverterH564" hidden="1">#REF!</definedName>
    <definedName name="IQRTickerConverterH565" hidden="1">#REF!</definedName>
    <definedName name="IQRTickerConverterH566" hidden="1">#REF!</definedName>
    <definedName name="IQRTickerConverterH567" hidden="1">#REF!</definedName>
    <definedName name="IQRTickerConverterH568" hidden="1">#REF!</definedName>
    <definedName name="IQRTickerConverterH569" hidden="1">#REF!</definedName>
    <definedName name="IQRTickerConverterH57" hidden="1">#REF!</definedName>
    <definedName name="IQRTickerConverterH570" hidden="1">#REF!</definedName>
    <definedName name="IQRTickerConverterH571" hidden="1">#REF!</definedName>
    <definedName name="IQRTickerConverterH572" hidden="1">#REF!</definedName>
    <definedName name="IQRTickerConverterH573" hidden="1">#REF!</definedName>
    <definedName name="IQRTickerConverterH574" hidden="1">#REF!</definedName>
    <definedName name="IQRTickerConverterH575" hidden="1">#REF!</definedName>
    <definedName name="IQRTickerConverterH576" hidden="1">#REF!</definedName>
    <definedName name="IQRTickerConverterH577" hidden="1">#REF!</definedName>
    <definedName name="IQRTickerConverterH578" hidden="1">#REF!</definedName>
    <definedName name="IQRTickerConverterH579" hidden="1">#REF!</definedName>
    <definedName name="IQRTickerConverterH580" hidden="1">#REF!</definedName>
    <definedName name="IQRTickerConverterH581" hidden="1">#REF!</definedName>
    <definedName name="IQRTickerConverterH582" hidden="1">#REF!</definedName>
    <definedName name="IQRTickerConverterH584" hidden="1">#REF!</definedName>
    <definedName name="IQRTickerConverterH585" hidden="1">#REF!</definedName>
    <definedName name="IQRTickerConverterH586" hidden="1">#REF!</definedName>
    <definedName name="IQRTickerConverterH587" hidden="1">#REF!</definedName>
    <definedName name="IQRTickerConverterH588" hidden="1">#REF!</definedName>
    <definedName name="IQRTickerConverterH589" hidden="1">#REF!</definedName>
    <definedName name="IQRTickerConverterH59" hidden="1">#REF!</definedName>
    <definedName name="IQRTickerConverterH590" hidden="1">#REF!</definedName>
    <definedName name="IQRTickerConverterH592" hidden="1">#REF!</definedName>
    <definedName name="IQRTickerConverterH593" hidden="1">#REF!</definedName>
    <definedName name="IQRTickerConverterH594" hidden="1">#REF!</definedName>
    <definedName name="IQRTickerConverterH595" hidden="1">#REF!</definedName>
    <definedName name="IQRTickerConverterH596" hidden="1">#REF!</definedName>
    <definedName name="IQRTickerConverterH598" hidden="1">#REF!</definedName>
    <definedName name="IQRTickerConverterH599" hidden="1">#REF!</definedName>
    <definedName name="IQRTickerConverterH6" hidden="1">#REF!</definedName>
    <definedName name="IQRTickerConverterH60" hidden="1">#REF!</definedName>
    <definedName name="IQRTickerConverterH600" hidden="1">#REF!</definedName>
    <definedName name="IQRTickerConverterH601" hidden="1">#REF!</definedName>
    <definedName name="IQRTickerConverterH602" hidden="1">#REF!</definedName>
    <definedName name="IQRTickerConverterH603" hidden="1">#REF!</definedName>
    <definedName name="IQRTickerConverterH604" hidden="1">#REF!</definedName>
    <definedName name="IQRTickerConverterH605" hidden="1">#REF!</definedName>
    <definedName name="IQRTickerConverterH606" hidden="1">#REF!</definedName>
    <definedName name="IQRTickerConverterH607" hidden="1">#REF!</definedName>
    <definedName name="IQRTickerConverterH608" hidden="1">#REF!</definedName>
    <definedName name="IQRTickerConverterH609" hidden="1">#REF!</definedName>
    <definedName name="IQRTickerConverterH61" hidden="1">#REF!</definedName>
    <definedName name="IQRTickerConverterH610" hidden="1">#REF!</definedName>
    <definedName name="IQRTickerConverterH612" hidden="1">#REF!</definedName>
    <definedName name="IQRTickerConverterH613" hidden="1">#REF!</definedName>
    <definedName name="IQRTickerConverterH614" hidden="1">#REF!</definedName>
    <definedName name="IQRTickerConverterH615" hidden="1">#REF!</definedName>
    <definedName name="IQRTickerConverterH616" hidden="1">#REF!</definedName>
    <definedName name="IQRTickerConverterH617" hidden="1">#REF!</definedName>
    <definedName name="IQRTickerConverterH618" hidden="1">#REF!</definedName>
    <definedName name="IQRTickerConverterH619" hidden="1">#REF!</definedName>
    <definedName name="IQRTickerConverterH62" hidden="1">#REF!</definedName>
    <definedName name="IQRTickerConverterH620" hidden="1">#REF!</definedName>
    <definedName name="IQRTickerConverterH621" hidden="1">#REF!</definedName>
    <definedName name="IQRTickerConverterH622" hidden="1">#REF!</definedName>
    <definedName name="IQRTickerConverterH623" hidden="1">#REF!</definedName>
    <definedName name="IQRTickerConverterH624" hidden="1">#REF!</definedName>
    <definedName name="IQRTickerConverterH625" hidden="1">#REF!</definedName>
    <definedName name="IQRTickerConverterH626" hidden="1">#REF!</definedName>
    <definedName name="IQRTickerConverterH627" hidden="1">#REF!</definedName>
    <definedName name="IQRTickerConverterH628" hidden="1">#REF!</definedName>
    <definedName name="IQRTickerConverterH629" hidden="1">#REF!</definedName>
    <definedName name="IQRTickerConverterH63" hidden="1">#REF!</definedName>
    <definedName name="IQRTickerConverterH630" hidden="1">#REF!</definedName>
    <definedName name="IQRTickerConverterH631" hidden="1">#REF!</definedName>
    <definedName name="IQRTickerConverterH632" hidden="1">#REF!</definedName>
    <definedName name="IQRTickerConverterH633" hidden="1">#REF!</definedName>
    <definedName name="IQRTickerConverterH634" hidden="1">#REF!</definedName>
    <definedName name="IQRTickerConverterH635" hidden="1">#REF!</definedName>
    <definedName name="IQRTickerConverterH636" hidden="1">#REF!</definedName>
    <definedName name="IQRTickerConverterH637" hidden="1">#REF!</definedName>
    <definedName name="IQRTickerConverterH638" hidden="1">#REF!</definedName>
    <definedName name="IQRTickerConverterH639" hidden="1">#REF!</definedName>
    <definedName name="IQRTickerConverterH64" hidden="1">#REF!</definedName>
    <definedName name="IQRTickerConverterH640" hidden="1">#REF!</definedName>
    <definedName name="IQRTickerConverterH641" hidden="1">#REF!</definedName>
    <definedName name="IQRTickerConverterH642" hidden="1">#REF!</definedName>
    <definedName name="IQRTickerConverterH643" hidden="1">#REF!</definedName>
    <definedName name="IQRTickerConverterH644" hidden="1">#REF!</definedName>
    <definedName name="IQRTickerConverterH645" hidden="1">#REF!</definedName>
    <definedName name="IQRTickerConverterH646" hidden="1">#REF!</definedName>
    <definedName name="IQRTickerConverterH647" hidden="1">#REF!</definedName>
    <definedName name="IQRTickerConverterH648" hidden="1">#REF!</definedName>
    <definedName name="IQRTickerConverterH649" hidden="1">#REF!</definedName>
    <definedName name="IQRTickerConverterH65" hidden="1">#REF!</definedName>
    <definedName name="IQRTickerConverterH650" hidden="1">#REF!</definedName>
    <definedName name="IQRTickerConverterH651" hidden="1">#REF!</definedName>
    <definedName name="IQRTickerConverterH652" hidden="1">#REF!</definedName>
    <definedName name="IQRTickerConverterH653" hidden="1">#REF!</definedName>
    <definedName name="IQRTickerConverterH654" hidden="1">#REF!</definedName>
    <definedName name="IQRTickerConverterH655" hidden="1">#REF!</definedName>
    <definedName name="IQRTickerConverterH656" hidden="1">#REF!</definedName>
    <definedName name="IQRTickerConverterH657" hidden="1">#REF!</definedName>
    <definedName name="IQRTickerConverterH658" hidden="1">#REF!</definedName>
    <definedName name="IQRTickerConverterH659" hidden="1">#REF!</definedName>
    <definedName name="IQRTickerConverterH66" hidden="1">#REF!</definedName>
    <definedName name="IQRTickerConverterH660" hidden="1">#REF!</definedName>
    <definedName name="IQRTickerConverterH661" hidden="1">#REF!</definedName>
    <definedName name="IQRTickerConverterH662" hidden="1">#REF!</definedName>
    <definedName name="IQRTickerConverterH663" hidden="1">#REF!</definedName>
    <definedName name="IQRTickerConverterH664" hidden="1">#REF!</definedName>
    <definedName name="IQRTickerConverterH665" hidden="1">#REF!</definedName>
    <definedName name="IQRTickerConverterH667" hidden="1">#REF!</definedName>
    <definedName name="IQRTickerConverterH668" hidden="1">#REF!</definedName>
    <definedName name="IQRTickerConverterH669" hidden="1">#REF!</definedName>
    <definedName name="IQRTickerConverterH67" hidden="1">#REF!</definedName>
    <definedName name="IQRTickerConverterH671" hidden="1">#REF!</definedName>
    <definedName name="IQRTickerConverterH672" hidden="1">#REF!</definedName>
    <definedName name="IQRTickerConverterH673" hidden="1">#REF!</definedName>
    <definedName name="IQRTickerConverterH674" hidden="1">#REF!</definedName>
    <definedName name="IQRTickerConverterH675" hidden="1">#REF!</definedName>
    <definedName name="IQRTickerConverterH676" hidden="1">#REF!</definedName>
    <definedName name="IQRTickerConverterH677" hidden="1">#REF!</definedName>
    <definedName name="IQRTickerConverterH678" hidden="1">#REF!</definedName>
    <definedName name="IQRTickerConverterH679" hidden="1">#REF!</definedName>
    <definedName name="IQRTickerConverterH68" hidden="1">#REF!</definedName>
    <definedName name="IQRTickerConverterH681" hidden="1">#REF!</definedName>
    <definedName name="IQRTickerConverterH682" hidden="1">#REF!</definedName>
    <definedName name="IQRTickerConverterH683" hidden="1">#REF!</definedName>
    <definedName name="IQRTickerConverterH684" hidden="1">#REF!</definedName>
    <definedName name="IQRTickerConverterH685" hidden="1">#REF!</definedName>
    <definedName name="IQRTickerConverterH686" hidden="1">#REF!</definedName>
    <definedName name="IQRTickerConverterH687" hidden="1">#REF!</definedName>
    <definedName name="IQRTickerConverterH688" hidden="1">#REF!</definedName>
    <definedName name="IQRTickerConverterH689" hidden="1">#REF!</definedName>
    <definedName name="IQRTickerConverterH690" hidden="1">#REF!</definedName>
    <definedName name="IQRTickerConverterH691" hidden="1">#REF!</definedName>
    <definedName name="IQRTickerConverterH692" hidden="1">#REF!</definedName>
    <definedName name="IQRTickerConverterH693" hidden="1">#REF!</definedName>
    <definedName name="IQRTickerConverterH694" hidden="1">#REF!</definedName>
    <definedName name="IQRTickerConverterH695" hidden="1">#REF!</definedName>
    <definedName name="IQRTickerConverterH696" hidden="1">#REF!</definedName>
    <definedName name="IQRTickerConverterH697" hidden="1">#REF!</definedName>
    <definedName name="IQRTickerConverterH699" hidden="1">#REF!</definedName>
    <definedName name="IQRTickerConverterH7" hidden="1">#REF!</definedName>
    <definedName name="IQRTickerConverterH70" hidden="1">#REF!</definedName>
    <definedName name="IQRTickerConverterH700" hidden="1">#REF!</definedName>
    <definedName name="IQRTickerConverterH702" hidden="1">#REF!</definedName>
    <definedName name="IQRTickerConverterH703" hidden="1">#REF!</definedName>
    <definedName name="IQRTickerConverterH704" hidden="1">#REF!</definedName>
    <definedName name="IQRTickerConverterH705" hidden="1">#REF!</definedName>
    <definedName name="IQRTickerConverterH706" hidden="1">#REF!</definedName>
    <definedName name="IQRTickerConverterH707" hidden="1">#REF!</definedName>
    <definedName name="IQRTickerConverterH708" hidden="1">#REF!</definedName>
    <definedName name="IQRTickerConverterH709" hidden="1">#REF!</definedName>
    <definedName name="IQRTickerConverterH71" hidden="1">#REF!</definedName>
    <definedName name="IQRTickerConverterH710" hidden="1">#REF!</definedName>
    <definedName name="IQRTickerConverterH711" hidden="1">#REF!</definedName>
    <definedName name="IQRTickerConverterH712" hidden="1">#REF!</definedName>
    <definedName name="IQRTickerConverterH713" hidden="1">#REF!</definedName>
    <definedName name="IQRTickerConverterH714" hidden="1">#REF!</definedName>
    <definedName name="IQRTickerConverterH715" hidden="1">#REF!</definedName>
    <definedName name="IQRTickerConverterH716" hidden="1">#REF!</definedName>
    <definedName name="IQRTickerConverterH717" hidden="1">#REF!</definedName>
    <definedName name="IQRTickerConverterH718" hidden="1">#REF!</definedName>
    <definedName name="IQRTickerConverterH72" hidden="1">#REF!</definedName>
    <definedName name="IQRTickerConverterH720" hidden="1">#REF!</definedName>
    <definedName name="IQRTickerConverterH721" hidden="1">#REF!</definedName>
    <definedName name="IQRTickerConverterH722" hidden="1">#REF!</definedName>
    <definedName name="IQRTickerConverterH723" hidden="1">#REF!</definedName>
    <definedName name="IQRTickerConverterH724" hidden="1">#REF!</definedName>
    <definedName name="IQRTickerConverterH725" hidden="1">#REF!</definedName>
    <definedName name="IQRTickerConverterH726" hidden="1">#REF!</definedName>
    <definedName name="IQRTickerConverterH727" hidden="1">#REF!</definedName>
    <definedName name="IQRTickerConverterH729" hidden="1">#REF!</definedName>
    <definedName name="IQRTickerConverterH73" hidden="1">#REF!</definedName>
    <definedName name="IQRTickerConverterH730" hidden="1">#REF!</definedName>
    <definedName name="IQRTickerConverterH731" hidden="1">#REF!</definedName>
    <definedName name="IQRTickerConverterH732" hidden="1">#REF!</definedName>
    <definedName name="IQRTickerConverterH733" hidden="1">#REF!</definedName>
    <definedName name="IQRTickerConverterH734" hidden="1">#REF!</definedName>
    <definedName name="IQRTickerConverterH735" hidden="1">#REF!</definedName>
    <definedName name="IQRTickerConverterH736" hidden="1">#REF!</definedName>
    <definedName name="IQRTickerConverterH737" hidden="1">#REF!</definedName>
    <definedName name="IQRTickerConverterH739" hidden="1">#REF!</definedName>
    <definedName name="IQRTickerConverterH74" hidden="1">#REF!</definedName>
    <definedName name="IQRTickerConverterH740" hidden="1">#REF!</definedName>
    <definedName name="IQRTickerConverterH741" hidden="1">#REF!</definedName>
    <definedName name="IQRTickerConverterH742" hidden="1">#REF!</definedName>
    <definedName name="IQRTickerConverterH743" hidden="1">#REF!</definedName>
    <definedName name="IQRTickerConverterH744" hidden="1">#REF!</definedName>
    <definedName name="IQRTickerConverterH745" hidden="1">#REF!</definedName>
    <definedName name="IQRTickerConverterH746" hidden="1">#REF!</definedName>
    <definedName name="IQRTickerConverterH747" hidden="1">#REF!</definedName>
    <definedName name="IQRTickerConverterH749" hidden="1">#REF!</definedName>
    <definedName name="IQRTickerConverterH75" hidden="1">#REF!</definedName>
    <definedName name="IQRTickerConverterH750" hidden="1">#REF!</definedName>
    <definedName name="IQRTickerConverterH751" hidden="1">#REF!</definedName>
    <definedName name="IQRTickerConverterH752" hidden="1">#REF!</definedName>
    <definedName name="IQRTickerConverterH753" hidden="1">#REF!</definedName>
    <definedName name="IQRTickerConverterH754" hidden="1">#REF!</definedName>
    <definedName name="IQRTickerConverterH755" hidden="1">#REF!</definedName>
    <definedName name="IQRTickerConverterH756" hidden="1">#REF!</definedName>
    <definedName name="IQRTickerConverterH757" hidden="1">#REF!</definedName>
    <definedName name="IQRTickerConverterH758" hidden="1">#REF!</definedName>
    <definedName name="IQRTickerConverterH759" hidden="1">#REF!</definedName>
    <definedName name="IQRTickerConverterH76" hidden="1">#REF!</definedName>
    <definedName name="IQRTickerConverterH760" hidden="1">#REF!</definedName>
    <definedName name="IQRTickerConverterH761" hidden="1">#REF!</definedName>
    <definedName name="IQRTickerConverterH762" hidden="1">#REF!</definedName>
    <definedName name="IQRTickerConverterH763" hidden="1">#REF!</definedName>
    <definedName name="IQRTickerConverterH764" hidden="1">#REF!</definedName>
    <definedName name="IQRTickerConverterH765" hidden="1">#REF!</definedName>
    <definedName name="IQRTickerConverterH766" hidden="1">#REF!</definedName>
    <definedName name="IQRTickerConverterH767" hidden="1">#REF!</definedName>
    <definedName name="IQRTickerConverterH768" hidden="1">#REF!</definedName>
    <definedName name="IQRTickerConverterH769" hidden="1">#REF!</definedName>
    <definedName name="IQRTickerConverterH77" hidden="1">#REF!</definedName>
    <definedName name="IQRTickerConverterH770" hidden="1">#REF!</definedName>
    <definedName name="IQRTickerConverterH771" hidden="1">#REF!</definedName>
    <definedName name="IQRTickerConverterH772" hidden="1">#REF!</definedName>
    <definedName name="IQRTickerConverterH773" hidden="1">#REF!</definedName>
    <definedName name="IQRTickerConverterH774" hidden="1">#REF!</definedName>
    <definedName name="IQRTickerConverterH775" hidden="1">#REF!</definedName>
    <definedName name="IQRTickerConverterH776" hidden="1">#REF!</definedName>
    <definedName name="IQRTickerConverterH777" hidden="1">#REF!</definedName>
    <definedName name="IQRTickerConverterH778" hidden="1">#REF!</definedName>
    <definedName name="IQRTickerConverterH779" hidden="1">#REF!</definedName>
    <definedName name="IQRTickerConverterH78" hidden="1">#REF!</definedName>
    <definedName name="IQRTickerConverterH780" hidden="1">#REF!</definedName>
    <definedName name="IQRTickerConverterH781" hidden="1">#REF!</definedName>
    <definedName name="IQRTickerConverterH782" hidden="1">#REF!</definedName>
    <definedName name="IQRTickerConverterH783" hidden="1">#REF!</definedName>
    <definedName name="IQRTickerConverterH784" hidden="1">#REF!</definedName>
    <definedName name="IQRTickerConverterH785" hidden="1">#REF!</definedName>
    <definedName name="IQRTickerConverterH786" hidden="1">#REF!</definedName>
    <definedName name="IQRTickerConverterH788" hidden="1">#REF!</definedName>
    <definedName name="IQRTickerConverterH79" hidden="1">#REF!</definedName>
    <definedName name="IQRTickerConverterH790" hidden="1">#REF!</definedName>
    <definedName name="IQRTickerConverterH791" hidden="1">#REF!</definedName>
    <definedName name="IQRTickerConverterH792" hidden="1">#REF!</definedName>
    <definedName name="IQRTickerConverterH793" hidden="1">#REF!</definedName>
    <definedName name="IQRTickerConverterH794" hidden="1">#REF!</definedName>
    <definedName name="IQRTickerConverterH795" hidden="1">#REF!</definedName>
    <definedName name="IQRTickerConverterH796" hidden="1">#REF!</definedName>
    <definedName name="IQRTickerConverterH797" hidden="1">#REF!</definedName>
    <definedName name="IQRTickerConverterH798" hidden="1">#REF!</definedName>
    <definedName name="IQRTickerConverterH799" hidden="1">#REF!</definedName>
    <definedName name="IQRTickerConverterH8" hidden="1">#REF!</definedName>
    <definedName name="IQRTickerConverterH80" hidden="1">#REF!</definedName>
    <definedName name="IQRTickerConverterH800" hidden="1">#REF!</definedName>
    <definedName name="IQRTickerConverterH801" hidden="1">#REF!</definedName>
    <definedName name="IQRTickerConverterH802" hidden="1">#REF!</definedName>
    <definedName name="IQRTickerConverterH803" hidden="1">#REF!</definedName>
    <definedName name="IQRTickerConverterH805" hidden="1">#REF!</definedName>
    <definedName name="IQRTickerConverterH806" hidden="1">#REF!</definedName>
    <definedName name="IQRTickerConverterH807" hidden="1">#REF!</definedName>
    <definedName name="IQRTickerConverterH809" hidden="1">#REF!</definedName>
    <definedName name="IQRTickerConverterH81" hidden="1">#REF!</definedName>
    <definedName name="IQRTickerConverterH810" hidden="1">#REF!</definedName>
    <definedName name="IQRTickerConverterH811" hidden="1">#REF!</definedName>
    <definedName name="IQRTickerConverterH812" hidden="1">#REF!</definedName>
    <definedName name="IQRTickerConverterH813" hidden="1">#REF!</definedName>
    <definedName name="IQRTickerConverterH814" hidden="1">#REF!</definedName>
    <definedName name="IQRTickerConverterH815" hidden="1">#REF!</definedName>
    <definedName name="IQRTickerConverterH816" hidden="1">#REF!</definedName>
    <definedName name="IQRTickerConverterH818" hidden="1">#REF!</definedName>
    <definedName name="IQRTickerConverterH82" hidden="1">#REF!</definedName>
    <definedName name="IQRTickerConverterH820" hidden="1">#REF!</definedName>
    <definedName name="IQRTickerConverterH821" hidden="1">#REF!</definedName>
    <definedName name="IQRTickerConverterH822" hidden="1">#REF!</definedName>
    <definedName name="IQRTickerConverterH823" hidden="1">#REF!</definedName>
    <definedName name="IQRTickerConverterH825" hidden="1">#REF!</definedName>
    <definedName name="IQRTickerConverterH826" hidden="1">#REF!</definedName>
    <definedName name="IQRTickerConverterH827" hidden="1">#REF!</definedName>
    <definedName name="IQRTickerConverterH828" hidden="1">#REF!</definedName>
    <definedName name="IQRTickerConverterH829" hidden="1">#REF!</definedName>
    <definedName name="IQRTickerConverterH83" hidden="1">#REF!</definedName>
    <definedName name="IQRTickerConverterH830" hidden="1">#REF!</definedName>
    <definedName name="IQRTickerConverterH831" hidden="1">#REF!</definedName>
    <definedName name="IQRTickerConverterH832" hidden="1">#REF!</definedName>
    <definedName name="IQRTickerConverterH834" hidden="1">#REF!</definedName>
    <definedName name="IQRTickerConverterH835" hidden="1">#REF!</definedName>
    <definedName name="IQRTickerConverterH836" hidden="1">#REF!</definedName>
    <definedName name="IQRTickerConverterH837" hidden="1">#REF!</definedName>
    <definedName name="IQRTickerConverterH838" hidden="1">#REF!</definedName>
    <definedName name="IQRTickerConverterH839" hidden="1">#REF!</definedName>
    <definedName name="IQRTickerConverterH84" hidden="1">#REF!</definedName>
    <definedName name="IQRTickerConverterH840" hidden="1">#REF!</definedName>
    <definedName name="IQRTickerConverterH842" hidden="1">#REF!</definedName>
    <definedName name="IQRTickerConverterH843" hidden="1">#REF!</definedName>
    <definedName name="IQRTickerConverterH845" hidden="1">#REF!</definedName>
    <definedName name="IQRTickerConverterH846" hidden="1">#REF!</definedName>
    <definedName name="IQRTickerConverterH847" hidden="1">#REF!</definedName>
    <definedName name="IQRTickerConverterH848" hidden="1">#REF!</definedName>
    <definedName name="IQRTickerConverterH849" hidden="1">#REF!</definedName>
    <definedName name="IQRTickerConverterH85" hidden="1">#REF!</definedName>
    <definedName name="IQRTickerConverterH850" hidden="1">#REF!</definedName>
    <definedName name="IQRTickerConverterH851" hidden="1">#REF!</definedName>
    <definedName name="IQRTickerConverterH852" hidden="1">#REF!</definedName>
    <definedName name="IQRTickerConverterH853" hidden="1">#REF!</definedName>
    <definedName name="IQRTickerConverterH854" hidden="1">#REF!</definedName>
    <definedName name="IQRTickerConverterH855" hidden="1">#REF!</definedName>
    <definedName name="IQRTickerConverterH856" hidden="1">#REF!</definedName>
    <definedName name="IQRTickerConverterH857" hidden="1">#REF!</definedName>
    <definedName name="IQRTickerConverterH858" hidden="1">#REF!</definedName>
    <definedName name="IQRTickerConverterH859" hidden="1">#REF!</definedName>
    <definedName name="IQRTickerConverterH86" hidden="1">#REF!</definedName>
    <definedName name="IQRTickerConverterH860" hidden="1">#REF!</definedName>
    <definedName name="IQRTickerConverterH861" hidden="1">#REF!</definedName>
    <definedName name="IQRTickerConverterH862" hidden="1">#REF!</definedName>
    <definedName name="IQRTickerConverterH863" hidden="1">#REF!</definedName>
    <definedName name="IQRTickerConverterH865" hidden="1">#REF!</definedName>
    <definedName name="IQRTickerConverterH866" hidden="1">#REF!</definedName>
    <definedName name="IQRTickerConverterH867" hidden="1">#REF!</definedName>
    <definedName name="IQRTickerConverterH868" hidden="1">#REF!</definedName>
    <definedName name="IQRTickerConverterH869" hidden="1">#REF!</definedName>
    <definedName name="IQRTickerConverterH87" hidden="1">#REF!</definedName>
    <definedName name="IQRTickerConverterH870" hidden="1">#REF!</definedName>
    <definedName name="IQRTickerConverterH871" hidden="1">#REF!</definedName>
    <definedName name="IQRTickerConverterH872" hidden="1">#REF!</definedName>
    <definedName name="IQRTickerConverterH874" hidden="1">#REF!</definedName>
    <definedName name="IQRTickerConverterH875" hidden="1">#REF!</definedName>
    <definedName name="IQRTickerConverterH876" hidden="1">#REF!</definedName>
    <definedName name="IQRTickerConverterH877" hidden="1">#REF!</definedName>
    <definedName name="IQRTickerConverterH878" hidden="1">#REF!</definedName>
    <definedName name="IQRTickerConverterH879" hidden="1">#REF!</definedName>
    <definedName name="IQRTickerConverterH88" hidden="1">#REF!</definedName>
    <definedName name="IQRTickerConverterH880" hidden="1">#REF!</definedName>
    <definedName name="IQRTickerConverterH882" hidden="1">#REF!</definedName>
    <definedName name="IQRTickerConverterH883" hidden="1">#REF!</definedName>
    <definedName name="IQRTickerConverterH884" hidden="1">#REF!</definedName>
    <definedName name="IQRTickerConverterH886" hidden="1">#REF!</definedName>
    <definedName name="IQRTickerConverterH887" hidden="1">#REF!</definedName>
    <definedName name="IQRTickerConverterH888" hidden="1">#REF!</definedName>
    <definedName name="IQRTickerConverterH889" hidden="1">#REF!</definedName>
    <definedName name="IQRTickerConverterH89" hidden="1">#REF!</definedName>
    <definedName name="IQRTickerConverterH890" hidden="1">#REF!</definedName>
    <definedName name="IQRTickerConverterH891" hidden="1">#REF!</definedName>
    <definedName name="IQRTickerConverterH892" hidden="1">#REF!</definedName>
    <definedName name="IQRTickerConverterH893" hidden="1">#REF!</definedName>
    <definedName name="IQRTickerConverterH895" hidden="1">#REF!</definedName>
    <definedName name="IQRTickerConverterH896" hidden="1">#REF!</definedName>
    <definedName name="IQRTickerConverterH897" hidden="1">#REF!</definedName>
    <definedName name="IQRTickerConverterH898" hidden="1">#REF!</definedName>
    <definedName name="IQRTickerConverterH899" hidden="1">#REF!</definedName>
    <definedName name="IQRTickerConverterH9" hidden="1">#REF!</definedName>
    <definedName name="IQRTickerConverterH90" hidden="1">#REF!</definedName>
    <definedName name="IQRTickerConverterH900" hidden="1">#REF!</definedName>
    <definedName name="IQRTickerConverterH902" hidden="1">#REF!</definedName>
    <definedName name="IQRTickerConverterH903" hidden="1">#REF!</definedName>
    <definedName name="IQRTickerConverterH904" hidden="1">#REF!</definedName>
    <definedName name="IQRTickerConverterH905" hidden="1">#REF!</definedName>
    <definedName name="IQRTickerConverterH906" hidden="1">#REF!</definedName>
    <definedName name="IQRTickerConverterH907" hidden="1">#REF!</definedName>
    <definedName name="IQRTickerConverterH908" hidden="1">#REF!</definedName>
    <definedName name="IQRTickerConverterH909" hidden="1">#REF!</definedName>
    <definedName name="IQRTickerConverterH910" hidden="1">#REF!</definedName>
    <definedName name="IQRTickerConverterH911" hidden="1">#REF!</definedName>
    <definedName name="IQRTickerConverterH912" hidden="1">#REF!</definedName>
    <definedName name="IQRTickerConverterH913" hidden="1">#REF!</definedName>
    <definedName name="IQRTickerConverterH914" hidden="1">#REF!</definedName>
    <definedName name="IQRTickerConverterH916" hidden="1">#REF!</definedName>
    <definedName name="IQRTickerConverterH917" hidden="1">#REF!</definedName>
    <definedName name="IQRTickerConverterH918" hidden="1">#REF!</definedName>
    <definedName name="IQRTickerConverterH919" hidden="1">#REF!</definedName>
    <definedName name="IQRTickerConverterH92" hidden="1">#REF!</definedName>
    <definedName name="IQRTickerConverterH920" hidden="1">#REF!</definedName>
    <definedName name="IQRTickerConverterH921" hidden="1">#REF!</definedName>
    <definedName name="IQRTickerConverterH922" hidden="1">#REF!</definedName>
    <definedName name="IQRTickerConverterH923" hidden="1">#REF!</definedName>
    <definedName name="IQRTickerConverterH924" hidden="1">#REF!</definedName>
    <definedName name="IQRTickerConverterH925" hidden="1">#REF!</definedName>
    <definedName name="IQRTickerConverterH926" hidden="1">#REF!</definedName>
    <definedName name="IQRTickerConverterH927" hidden="1">#REF!</definedName>
    <definedName name="IQRTickerConverterH928" hidden="1">#REF!</definedName>
    <definedName name="IQRTickerConverterH929" hidden="1">#REF!</definedName>
    <definedName name="IQRTickerConverterH93" hidden="1">#REF!</definedName>
    <definedName name="IQRTickerConverterH930" hidden="1">#REF!</definedName>
    <definedName name="IQRTickerConverterH931" hidden="1">#REF!</definedName>
    <definedName name="IQRTickerConverterH932" hidden="1">#REF!</definedName>
    <definedName name="IQRTickerConverterH933" hidden="1">#REF!</definedName>
    <definedName name="IQRTickerConverterH934" hidden="1">#REF!</definedName>
    <definedName name="IQRTickerConverterH935" hidden="1">#REF!</definedName>
    <definedName name="IQRTickerConverterH936" hidden="1">#REF!</definedName>
    <definedName name="IQRTickerConverterH937" hidden="1">#REF!</definedName>
    <definedName name="IQRTickerConverterH939" hidden="1">#REF!</definedName>
    <definedName name="IQRTickerConverterH94" hidden="1">#REF!</definedName>
    <definedName name="IQRTickerConverterH940" hidden="1">#REF!</definedName>
    <definedName name="IQRTickerConverterH941" hidden="1">#REF!</definedName>
    <definedName name="IQRTickerConverterH942" hidden="1">#REF!</definedName>
    <definedName name="IQRTickerConverterH943" hidden="1">#REF!</definedName>
    <definedName name="IQRTickerConverterH944" hidden="1">#REF!</definedName>
    <definedName name="IQRTickerConverterH945" hidden="1">#REF!</definedName>
    <definedName name="IQRTickerConverterH946" hidden="1">#REF!</definedName>
    <definedName name="IQRTickerConverterH947" hidden="1">#REF!</definedName>
    <definedName name="IQRTickerConverterH948" hidden="1">#REF!</definedName>
    <definedName name="IQRTickerConverterH949" hidden="1">#REF!</definedName>
    <definedName name="IQRTickerConverterH95" hidden="1">#REF!</definedName>
    <definedName name="IQRTickerConverterH950" hidden="1">#REF!</definedName>
    <definedName name="IQRTickerConverterH951" hidden="1">#REF!</definedName>
    <definedName name="IQRTickerConverterH952" hidden="1">#REF!</definedName>
    <definedName name="IQRTickerConverterH953" hidden="1">#REF!</definedName>
    <definedName name="IQRTickerConverterH954" hidden="1">#REF!</definedName>
    <definedName name="IQRTickerConverterH955" hidden="1">#REF!</definedName>
    <definedName name="IQRTickerConverterH956" hidden="1">#REF!</definedName>
    <definedName name="IQRTickerConverterH957" hidden="1">#REF!</definedName>
    <definedName name="IQRTickerConverterH958" hidden="1">#REF!</definedName>
    <definedName name="IQRTickerConverterH959" hidden="1">#REF!</definedName>
    <definedName name="IQRTickerConverterH96" hidden="1">#REF!</definedName>
    <definedName name="IQRTickerConverterH960" hidden="1">#REF!</definedName>
    <definedName name="IQRTickerConverterH961" hidden="1">#REF!</definedName>
    <definedName name="IQRTickerConverterH962" hidden="1">#REF!</definedName>
    <definedName name="IQRTickerConverterH963" hidden="1">#REF!</definedName>
    <definedName name="IQRTickerConverterH964" hidden="1">#REF!</definedName>
    <definedName name="IQRTickerConverterH965" hidden="1">#REF!</definedName>
    <definedName name="IQRTickerConverterH966" hidden="1">#REF!</definedName>
    <definedName name="IQRTickerConverterH967" hidden="1">#REF!</definedName>
    <definedName name="IQRTickerConverterH968" hidden="1">#REF!</definedName>
    <definedName name="IQRTickerConverterH969" hidden="1">#REF!</definedName>
    <definedName name="IQRTickerConverterH97" hidden="1">#REF!</definedName>
    <definedName name="IQRTickerConverterH970" hidden="1">#REF!</definedName>
    <definedName name="IQRTickerConverterH971" hidden="1">#REF!</definedName>
    <definedName name="IQRTickerConverterH972" hidden="1">#REF!</definedName>
    <definedName name="IQRTickerConverterH973" hidden="1">#REF!</definedName>
    <definedName name="IQRTickerConverterH974" hidden="1">#REF!</definedName>
    <definedName name="IQRTickerConverterH975" hidden="1">#REF!</definedName>
    <definedName name="IQRTickerConverterH977" hidden="1">#REF!</definedName>
    <definedName name="IQRTickerConverterH978" hidden="1">#REF!</definedName>
    <definedName name="IQRTickerConverterH979" hidden="1">#REF!</definedName>
    <definedName name="IQRTickerConverterH98" hidden="1">#REF!</definedName>
    <definedName name="IQRTickerConverterH980" hidden="1">#REF!</definedName>
    <definedName name="IQRTickerConverterH981" hidden="1">#REF!</definedName>
    <definedName name="IQRTickerConverterH982" hidden="1">#REF!</definedName>
    <definedName name="IQRTickerConverterH983" hidden="1">#REF!</definedName>
    <definedName name="IQRTickerConverterH985" hidden="1">#REF!</definedName>
    <definedName name="IQRTickerConverterH986" hidden="1">#REF!</definedName>
    <definedName name="IQRTickerConverterH988" hidden="1">#REF!</definedName>
    <definedName name="IQRTickerConverterH989" hidden="1">#REF!</definedName>
    <definedName name="IQRTickerConverterH99" hidden="1">#REF!</definedName>
    <definedName name="IQRTickerConverterH990" hidden="1">#REF!</definedName>
    <definedName name="IQRTickerConverterH991" hidden="1">#REF!</definedName>
    <definedName name="IQRTickerConverterH993" hidden="1">#REF!</definedName>
    <definedName name="IQRTickerConverterH994" hidden="1">#REF!</definedName>
    <definedName name="IQRTickerConverterH995" hidden="1">#REF!</definedName>
    <definedName name="IQRTickerConverterH996" hidden="1">#REF!</definedName>
    <definedName name="IQRTickerConverterH998" hidden="1">#REF!</definedName>
    <definedName name="IQRTickerConverterH999" hidden="1">#REF!</definedName>
    <definedName name="ListOffset" hidden="1">1</definedName>
    <definedName name="o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</definedNames>
  <calcPr calcId="162913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4" i="43" l="1"/>
  <c r="AF44" i="43" s="1"/>
  <c r="AG44" i="43" s="1"/>
  <c r="AH44" i="43" s="1"/>
  <c r="AI44" i="43" s="1"/>
  <c r="AJ44" i="43" s="1"/>
  <c r="AK44" i="43" s="1"/>
  <c r="AL44" i="43" s="1"/>
  <c r="AM44" i="43" s="1"/>
  <c r="AN44" i="43" s="1"/>
  <c r="B13" i="22" l="1"/>
  <c r="B14" i="22" s="1"/>
  <c r="AD50" i="43" l="1"/>
  <c r="S68" i="43"/>
  <c r="T68" i="43"/>
  <c r="U68" i="43"/>
  <c r="V68" i="43"/>
  <c r="W68" i="43"/>
  <c r="X68" i="43"/>
  <c r="Y68" i="43"/>
  <c r="Z68" i="43"/>
  <c r="AA68" i="43"/>
  <c r="AB68" i="43"/>
  <c r="AC68" i="43"/>
  <c r="AD68" i="43"/>
  <c r="AE64" i="43"/>
  <c r="AF64" i="43"/>
  <c r="AG64" i="43"/>
  <c r="AH64" i="43"/>
  <c r="AI64" i="43"/>
  <c r="AJ64" i="43"/>
  <c r="AK64" i="43"/>
  <c r="AL64" i="43"/>
  <c r="AM64" i="43"/>
  <c r="AN64" i="43"/>
  <c r="AD64" i="43"/>
  <c r="AF67" i="43"/>
  <c r="AG67" i="43" s="1"/>
  <c r="AH67" i="43" s="1"/>
  <c r="AI67" i="43" s="1"/>
  <c r="AJ67" i="43" s="1"/>
  <c r="AK67" i="43" s="1"/>
  <c r="AL67" i="43" s="1"/>
  <c r="AM67" i="43" s="1"/>
  <c r="AN67" i="43" s="1"/>
  <c r="AE67" i="43"/>
  <c r="S67" i="43"/>
  <c r="T67" i="43"/>
  <c r="U67" i="43"/>
  <c r="V67" i="43"/>
  <c r="W67" i="43"/>
  <c r="X67" i="43"/>
  <c r="Y67" i="43"/>
  <c r="Z67" i="43"/>
  <c r="AA67" i="43"/>
  <c r="AB67" i="43"/>
  <c r="AC67" i="43"/>
  <c r="S64" i="43"/>
  <c r="T64" i="43"/>
  <c r="U64" i="43"/>
  <c r="V64" i="43"/>
  <c r="W64" i="43"/>
  <c r="X64" i="43"/>
  <c r="Y64" i="43"/>
  <c r="Z64" i="43"/>
  <c r="AA64" i="43"/>
  <c r="AB64" i="43"/>
  <c r="AC64" i="43"/>
  <c r="AD63" i="43" l="1"/>
  <c r="AD62" i="43"/>
  <c r="AF66" i="43"/>
  <c r="AG66" i="43" s="1"/>
  <c r="AH66" i="43" s="1"/>
  <c r="AI66" i="43" s="1"/>
  <c r="AJ66" i="43" s="1"/>
  <c r="AK66" i="43" s="1"/>
  <c r="AL66" i="43" s="1"/>
  <c r="AM66" i="43" s="1"/>
  <c r="AN66" i="43" s="1"/>
  <c r="AE65" i="43"/>
  <c r="AF65" i="43" s="1"/>
  <c r="AG65" i="43" s="1"/>
  <c r="AH65" i="43" s="1"/>
  <c r="AI65" i="43" s="1"/>
  <c r="AJ65" i="43" s="1"/>
  <c r="AK65" i="43" s="1"/>
  <c r="AL65" i="43" s="1"/>
  <c r="AM65" i="43" s="1"/>
  <c r="T65" i="43"/>
  <c r="U65" i="43"/>
  <c r="V65" i="43"/>
  <c r="W65" i="43"/>
  <c r="X65" i="43"/>
  <c r="Y65" i="43"/>
  <c r="Z65" i="43"/>
  <c r="AA65" i="43"/>
  <c r="AB65" i="43"/>
  <c r="AC65" i="43"/>
  <c r="T66" i="43"/>
  <c r="U66" i="43"/>
  <c r="V66" i="43"/>
  <c r="W66" i="43"/>
  <c r="X66" i="43"/>
  <c r="Y66" i="43"/>
  <c r="Z66" i="43"/>
  <c r="AA66" i="43"/>
  <c r="AB66" i="43"/>
  <c r="AC66" i="43"/>
  <c r="S66" i="43"/>
  <c r="S65" i="43"/>
  <c r="E11" i="253" l="1"/>
  <c r="F11" i="253"/>
  <c r="G11" i="253"/>
  <c r="H11" i="253"/>
  <c r="I11" i="253"/>
  <c r="D11" i="253"/>
  <c r="B8" i="253" l="1"/>
  <c r="AJ165" i="43" l="1"/>
  <c r="AK165" i="43" s="1"/>
  <c r="AL165" i="43" s="1"/>
  <c r="AM165" i="43" s="1"/>
  <c r="AN165" i="43" s="1"/>
  <c r="B10" i="254"/>
  <c r="D9" i="254"/>
  <c r="D8" i="254"/>
  <c r="D1" i="254"/>
  <c r="D6" i="254" s="1"/>
  <c r="E6" i="254"/>
  <c r="B8" i="254"/>
  <c r="A8" i="254"/>
  <c r="A7" i="254"/>
  <c r="C6" i="254"/>
  <c r="B1" i="254"/>
  <c r="B6" i="254" s="1"/>
  <c r="A4" i="254"/>
  <c r="A3" i="254"/>
  <c r="A2" i="254"/>
  <c r="AE45" i="43" l="1"/>
  <c r="AD45" i="43" l="1"/>
  <c r="AD70" i="43"/>
  <c r="AD156" i="43" l="1"/>
  <c r="AQ14" i="43"/>
  <c r="AQ8" i="43"/>
  <c r="AQ7" i="43"/>
  <c r="AE156" i="43"/>
  <c r="AD272" i="43"/>
  <c r="S201" i="43"/>
  <c r="S194" i="43"/>
  <c r="S192" i="43"/>
  <c r="S179" i="43"/>
  <c r="S177" i="43"/>
  <c r="S178" i="43" s="1"/>
  <c r="S185" i="43" s="1"/>
  <c r="S325" i="43" s="1"/>
  <c r="S166" i="43"/>
  <c r="S162" i="43"/>
  <c r="S167" i="43" s="1"/>
  <c r="S156" i="43"/>
  <c r="S160" i="43" s="1"/>
  <c r="S155" i="43"/>
  <c r="S151" i="43"/>
  <c r="S149" i="43"/>
  <c r="S146" i="43"/>
  <c r="S145" i="43"/>
  <c r="T166" i="43"/>
  <c r="T162" i="43"/>
  <c r="T156" i="43"/>
  <c r="T155" i="43"/>
  <c r="T160" i="43" s="1"/>
  <c r="T149" i="43"/>
  <c r="T151" i="43"/>
  <c r="T201" i="43"/>
  <c r="T311" i="43" s="1"/>
  <c r="T193" i="43"/>
  <c r="T179" i="43"/>
  <c r="T177" i="43"/>
  <c r="T178" i="43" s="1"/>
  <c r="T185" i="43" s="1"/>
  <c r="T192" i="43"/>
  <c r="T146" i="43"/>
  <c r="T145" i="43"/>
  <c r="U166" i="43"/>
  <c r="U162" i="43"/>
  <c r="U167" i="43" s="1"/>
  <c r="U156" i="43"/>
  <c r="U155" i="43"/>
  <c r="U160" i="43" s="1"/>
  <c r="U201" i="43"/>
  <c r="U311" i="43" s="1"/>
  <c r="U179" i="43"/>
  <c r="U177" i="43"/>
  <c r="U178" i="43" s="1"/>
  <c r="U185" i="43" s="1"/>
  <c r="U325" i="43" s="1"/>
  <c r="U192" i="43"/>
  <c r="U197" i="43" s="1"/>
  <c r="V166" i="43"/>
  <c r="V162" i="43"/>
  <c r="V156" i="43"/>
  <c r="V155" i="43"/>
  <c r="V149" i="43"/>
  <c r="V151" i="43"/>
  <c r="V216" i="43" s="1"/>
  <c r="V201" i="43"/>
  <c r="V311" i="43" s="1"/>
  <c r="V313" i="43" s="1"/>
  <c r="V179" i="43"/>
  <c r="V177" i="43"/>
  <c r="V209" i="43" s="1"/>
  <c r="V212" i="43"/>
  <c r="V192" i="43"/>
  <c r="V197" i="43" s="1"/>
  <c r="S318" i="43" l="1"/>
  <c r="V203" i="43"/>
  <c r="V178" i="43"/>
  <c r="V167" i="43"/>
  <c r="T197" i="43"/>
  <c r="T203" i="43" s="1"/>
  <c r="T205" i="43" s="1"/>
  <c r="T206" i="43" s="1"/>
  <c r="T207" i="43" s="1"/>
  <c r="U313" i="43"/>
  <c r="U312" i="43"/>
  <c r="U314" i="43" s="1"/>
  <c r="V312" i="43"/>
  <c r="V314" i="43" s="1"/>
  <c r="T318" i="43"/>
  <c r="T319" i="43" s="1"/>
  <c r="V318" i="43"/>
  <c r="V319" i="43" s="1"/>
  <c r="S311" i="43"/>
  <c r="S313" i="43" s="1"/>
  <c r="U203" i="43"/>
  <c r="U205" i="43" s="1"/>
  <c r="T167" i="43"/>
  <c r="U318" i="43"/>
  <c r="V160" i="43"/>
  <c r="V185" i="43"/>
  <c r="V325" i="43" s="1"/>
  <c r="S197" i="43"/>
  <c r="S203" i="43" s="1"/>
  <c r="S205" i="43" s="1"/>
  <c r="S206" i="43" s="1"/>
  <c r="S207" i="43" s="1"/>
  <c r="S312" i="43"/>
  <c r="S314" i="43" s="1"/>
  <c r="T325" i="43"/>
  <c r="T204" i="43"/>
  <c r="T312" i="43"/>
  <c r="T314" i="43" s="1"/>
  <c r="T313" i="43"/>
  <c r="S319" i="43"/>
  <c r="U319" i="43"/>
  <c r="W201" i="43"/>
  <c r="W192" i="43"/>
  <c r="W197" i="43" s="1"/>
  <c r="W179" i="43"/>
  <c r="W178" i="43"/>
  <c r="W185" i="43" s="1"/>
  <c r="W325" i="43" s="1"/>
  <c r="W166" i="43"/>
  <c r="W162" i="43"/>
  <c r="W156" i="43"/>
  <c r="W155" i="43"/>
  <c r="W149" i="43"/>
  <c r="W151" i="43"/>
  <c r="W216" i="43" s="1"/>
  <c r="X201" i="43"/>
  <c r="X179" i="43"/>
  <c r="X166" i="43"/>
  <c r="X164" i="43"/>
  <c r="B9" i="254" s="1"/>
  <c r="X162" i="43"/>
  <c r="X156" i="43"/>
  <c r="X155" i="43"/>
  <c r="X151" i="43"/>
  <c r="X216" i="43" s="1"/>
  <c r="X149" i="43"/>
  <c r="S216" i="43"/>
  <c r="S212" i="43"/>
  <c r="S209" i="43"/>
  <c r="T216" i="43"/>
  <c r="T212" i="43"/>
  <c r="T209" i="43"/>
  <c r="U216" i="43"/>
  <c r="U212" i="43"/>
  <c r="U209" i="43"/>
  <c r="V215" i="43" s="1"/>
  <c r="V217" i="43" s="1"/>
  <c r="W212" i="43"/>
  <c r="W209" i="43"/>
  <c r="X212" i="43"/>
  <c r="X209" i="43"/>
  <c r="Y212" i="43"/>
  <c r="Y209" i="43"/>
  <c r="X192" i="43"/>
  <c r="X197" i="43" s="1"/>
  <c r="X178" i="43"/>
  <c r="Q146" i="43"/>
  <c r="Q145" i="43"/>
  <c r="R146" i="43"/>
  <c r="R145" i="43"/>
  <c r="U146" i="43"/>
  <c r="U145" i="43"/>
  <c r="V146" i="43"/>
  <c r="V145" i="43"/>
  <c r="W146" i="43"/>
  <c r="W145" i="43"/>
  <c r="X146" i="43"/>
  <c r="X145" i="43"/>
  <c r="S204" i="43" l="1"/>
  <c r="U204" i="43"/>
  <c r="X167" i="43"/>
  <c r="X160" i="43"/>
  <c r="V205" i="43"/>
  <c r="W318" i="43"/>
  <c r="W319" i="43" s="1"/>
  <c r="W311" i="43"/>
  <c r="X311" i="43"/>
  <c r="X318" i="43"/>
  <c r="X319" i="43" s="1"/>
  <c r="V204" i="43"/>
  <c r="X185" i="43"/>
  <c r="X325" i="43" s="1"/>
  <c r="U206" i="43"/>
  <c r="U207" i="43" s="1"/>
  <c r="V206" i="43"/>
  <c r="V207" i="43" s="1"/>
  <c r="W160" i="43"/>
  <c r="W167" i="43"/>
  <c r="S215" i="43"/>
  <c r="S217" i="43" s="1"/>
  <c r="W203" i="43"/>
  <c r="W204" i="43" s="1"/>
  <c r="X203" i="43"/>
  <c r="X215" i="43"/>
  <c r="X217" i="43" s="1"/>
  <c r="Y215" i="43"/>
  <c r="T215" i="43"/>
  <c r="T217" i="43" s="1"/>
  <c r="U215" i="43"/>
  <c r="U217" i="43" s="1"/>
  <c r="W215" i="43"/>
  <c r="W217" i="43" s="1"/>
  <c r="X205" i="43" l="1"/>
  <c r="X204" i="43"/>
  <c r="W313" i="43"/>
  <c r="W312" i="43"/>
  <c r="W314" i="43" s="1"/>
  <c r="W205" i="43"/>
  <c r="W206" i="43" s="1"/>
  <c r="W207" i="43" s="1"/>
  <c r="X206" i="43"/>
  <c r="X207" i="43" s="1"/>
  <c r="X313" i="43"/>
  <c r="X312" i="43"/>
  <c r="X314" i="43" s="1"/>
  <c r="Q134" i="43" l="1"/>
  <c r="R134" i="43"/>
  <c r="S134" i="43"/>
  <c r="T134" i="43"/>
  <c r="U134" i="43"/>
  <c r="V134" i="43"/>
  <c r="W134" i="43"/>
  <c r="X134" i="43"/>
  <c r="X121" i="43"/>
  <c r="X147" i="43" s="1"/>
  <c r="W121" i="43"/>
  <c r="W147" i="43" s="1"/>
  <c r="V121" i="43"/>
  <c r="V147" i="43" s="1"/>
  <c r="U121" i="43"/>
  <c r="U147" i="43" s="1"/>
  <c r="T121" i="43"/>
  <c r="T147" i="43" s="1"/>
  <c r="S121" i="43"/>
  <c r="S147" i="43" s="1"/>
  <c r="R121" i="43"/>
  <c r="R147" i="43" s="1"/>
  <c r="Q121" i="43"/>
  <c r="Q147" i="43" s="1"/>
  <c r="X120" i="43"/>
  <c r="W120" i="43"/>
  <c r="V120" i="43"/>
  <c r="U120" i="43"/>
  <c r="T120" i="43"/>
  <c r="S120" i="43"/>
  <c r="R120" i="43"/>
  <c r="Q120" i="43"/>
  <c r="X118" i="43"/>
  <c r="W118" i="43"/>
  <c r="V118" i="43"/>
  <c r="U118" i="43"/>
  <c r="T118" i="43"/>
  <c r="S118" i="43"/>
  <c r="R118" i="43"/>
  <c r="Q118" i="43"/>
  <c r="X114" i="43"/>
  <c r="W114" i="43"/>
  <c r="V114" i="43"/>
  <c r="U114" i="43"/>
  <c r="T114" i="43"/>
  <c r="S114" i="43"/>
  <c r="R114" i="43"/>
  <c r="Q114" i="43"/>
  <c r="X111" i="43"/>
  <c r="W111" i="43"/>
  <c r="V111" i="43"/>
  <c r="U111" i="43"/>
  <c r="T111" i="43"/>
  <c r="S111" i="43"/>
  <c r="R111" i="43"/>
  <c r="Q111" i="43"/>
  <c r="X108" i="43"/>
  <c r="W108" i="43"/>
  <c r="V108" i="43"/>
  <c r="U108" i="43"/>
  <c r="T108" i="43"/>
  <c r="S108" i="43"/>
  <c r="R108" i="43"/>
  <c r="Q108" i="43"/>
  <c r="X105" i="43"/>
  <c r="W105" i="43"/>
  <c r="V105" i="43"/>
  <c r="U105" i="43"/>
  <c r="T105" i="43"/>
  <c r="S105" i="43"/>
  <c r="R105" i="43"/>
  <c r="Q105" i="43"/>
  <c r="Q245" i="43"/>
  <c r="R245" i="43"/>
  <c r="S245" i="43"/>
  <c r="T245" i="43"/>
  <c r="U245" i="43"/>
  <c r="V245" i="43"/>
  <c r="W245" i="43"/>
  <c r="X245" i="43"/>
  <c r="Q258" i="43"/>
  <c r="R258" i="43"/>
  <c r="R261" i="43" s="1"/>
  <c r="R264" i="43" s="1"/>
  <c r="S258" i="43"/>
  <c r="T258" i="43"/>
  <c r="U258" i="43"/>
  <c r="V258" i="43"/>
  <c r="V259" i="43" s="1"/>
  <c r="W258" i="43"/>
  <c r="W259" i="43" s="1"/>
  <c r="X258" i="43"/>
  <c r="X224" i="43" s="1"/>
  <c r="X261" i="43" s="1"/>
  <c r="X264" i="43" s="1"/>
  <c r="S224" i="43"/>
  <c r="S261" i="43" s="1"/>
  <c r="S264" i="43" s="1"/>
  <c r="S222" i="43"/>
  <c r="T222" i="43"/>
  <c r="T226" i="43" s="1"/>
  <c r="T229" i="43" s="1"/>
  <c r="U222" i="43"/>
  <c r="V222" i="43"/>
  <c r="V226" i="43" s="1"/>
  <c r="V229" i="43" s="1"/>
  <c r="W222" i="43"/>
  <c r="W226" i="43" s="1"/>
  <c r="W229" i="43" s="1"/>
  <c r="X222" i="43"/>
  <c r="V228" i="43" l="1"/>
  <c r="W224" i="43"/>
  <c r="W261" i="43" s="1"/>
  <c r="W264" i="43" s="1"/>
  <c r="U223" i="43"/>
  <c r="U259" i="43"/>
  <c r="U224" i="43"/>
  <c r="U261" i="43" s="1"/>
  <c r="U264" i="43" s="1"/>
  <c r="T259" i="43"/>
  <c r="X259" i="43"/>
  <c r="X223" i="43"/>
  <c r="X225" i="43" s="1"/>
  <c r="Q261" i="43"/>
  <c r="Q264" i="43" s="1"/>
  <c r="Q259" i="43"/>
  <c r="S259" i="43"/>
  <c r="R259" i="43"/>
  <c r="S223" i="43"/>
  <c r="S225" i="43" s="1"/>
  <c r="T224" i="43"/>
  <c r="T261" i="43" s="1"/>
  <c r="T264" i="43" s="1"/>
  <c r="V224" i="43"/>
  <c r="V261" i="43" s="1"/>
  <c r="V264" i="43" s="1"/>
  <c r="U228" i="43"/>
  <c r="X226" i="43"/>
  <c r="X229" i="43" s="1"/>
  <c r="X228" i="43"/>
  <c r="T228" i="43"/>
  <c r="W228" i="43"/>
  <c r="S228" i="43"/>
  <c r="S226" i="43"/>
  <c r="S229" i="43" s="1"/>
  <c r="T223" i="43"/>
  <c r="T225" i="43" s="1"/>
  <c r="U226" i="43"/>
  <c r="U229" i="43" s="1"/>
  <c r="V223" i="43"/>
  <c r="W223" i="43"/>
  <c r="W225" i="43" s="1"/>
  <c r="S80" i="43"/>
  <c r="T80" i="43"/>
  <c r="U80" i="43"/>
  <c r="V80" i="43"/>
  <c r="W80" i="43"/>
  <c r="X80" i="43"/>
  <c r="Q81" i="43"/>
  <c r="R81" i="43"/>
  <c r="S81" i="43"/>
  <c r="T81" i="43"/>
  <c r="U81" i="43"/>
  <c r="U82" i="43" s="1"/>
  <c r="U83" i="43" s="1"/>
  <c r="V81" i="43"/>
  <c r="W81" i="43"/>
  <c r="W82" i="43" s="1"/>
  <c r="X81" i="43"/>
  <c r="AA33" i="43"/>
  <c r="Z33" i="43"/>
  <c r="Y33" i="43"/>
  <c r="X33" i="43"/>
  <c r="W33" i="43"/>
  <c r="V33" i="43"/>
  <c r="U33" i="43"/>
  <c r="T33" i="43"/>
  <c r="S33" i="43"/>
  <c r="Q89" i="43"/>
  <c r="Q86" i="43"/>
  <c r="R89" i="43"/>
  <c r="R86" i="43"/>
  <c r="S89" i="43"/>
  <c r="S93" i="43" s="1"/>
  <c r="S87" i="43"/>
  <c r="S92" i="43" s="1"/>
  <c r="S86" i="43"/>
  <c r="T89" i="43"/>
  <c r="T87" i="43" s="1"/>
  <c r="T92" i="43" s="1"/>
  <c r="T86" i="43"/>
  <c r="U89" i="43"/>
  <c r="U87" i="43" s="1"/>
  <c r="U92" i="43" s="1"/>
  <c r="U86" i="43"/>
  <c r="V89" i="43"/>
  <c r="V93" i="43" s="1"/>
  <c r="V86" i="43"/>
  <c r="W89" i="43"/>
  <c r="W87" i="43" s="1"/>
  <c r="W92" i="43" s="1"/>
  <c r="W86" i="43"/>
  <c r="X89" i="43"/>
  <c r="X87" i="43" s="1"/>
  <c r="X92" i="43" s="1"/>
  <c r="X86" i="43"/>
  <c r="R43" i="43"/>
  <c r="R45" i="43" s="1"/>
  <c r="S43" i="43"/>
  <c r="S47" i="43" s="1"/>
  <c r="T43" i="43"/>
  <c r="T45" i="43" s="1"/>
  <c r="U43" i="43"/>
  <c r="U45" i="43" s="1"/>
  <c r="V43" i="43"/>
  <c r="V47" i="43" s="1"/>
  <c r="W43" i="43"/>
  <c r="W47" i="43" s="1"/>
  <c r="X43" i="43"/>
  <c r="X45" i="43" s="1"/>
  <c r="R40" i="43"/>
  <c r="R39" i="43"/>
  <c r="R38" i="43"/>
  <c r="S40" i="43"/>
  <c r="S39" i="43"/>
  <c r="S38" i="43"/>
  <c r="T40" i="43"/>
  <c r="T39" i="43"/>
  <c r="T38" i="43"/>
  <c r="U40" i="43"/>
  <c r="U39" i="43"/>
  <c r="U38" i="43"/>
  <c r="V40" i="43"/>
  <c r="V39" i="43"/>
  <c r="V38" i="43"/>
  <c r="W40" i="43"/>
  <c r="W39" i="43"/>
  <c r="W38" i="43"/>
  <c r="X40" i="43"/>
  <c r="X39" i="43"/>
  <c r="X38" i="43"/>
  <c r="R33" i="43"/>
  <c r="Q16" i="43"/>
  <c r="Q109" i="43" s="1"/>
  <c r="R16" i="43"/>
  <c r="R109" i="43" s="1"/>
  <c r="S16" i="43"/>
  <c r="S109" i="43" s="1"/>
  <c r="T16" i="43"/>
  <c r="T109" i="43" s="1"/>
  <c r="U16" i="43"/>
  <c r="U109" i="43" s="1"/>
  <c r="V16" i="43"/>
  <c r="V109" i="43" s="1"/>
  <c r="W16" i="43"/>
  <c r="W109" i="43" s="1"/>
  <c r="X16" i="43"/>
  <c r="X109" i="43" s="1"/>
  <c r="Q9" i="43"/>
  <c r="Q10" i="43" s="1"/>
  <c r="Q104" i="43" s="1"/>
  <c r="R9" i="43"/>
  <c r="R10" i="43" s="1"/>
  <c r="S9" i="43"/>
  <c r="S10" i="43" s="1"/>
  <c r="S71" i="43" s="1"/>
  <c r="T9" i="43"/>
  <c r="T10" i="43" s="1"/>
  <c r="T71" i="43" s="1"/>
  <c r="U9" i="43"/>
  <c r="V9" i="43"/>
  <c r="V10" i="43" s="1"/>
  <c r="V71" i="43" s="1"/>
  <c r="W9" i="43"/>
  <c r="W10" i="43" s="1"/>
  <c r="W71" i="43" s="1"/>
  <c r="U225" i="43" l="1"/>
  <c r="T90" i="43"/>
  <c r="Q106" i="43"/>
  <c r="Q110" i="43" s="1"/>
  <c r="Q116" i="43" s="1"/>
  <c r="Q119" i="43" s="1"/>
  <c r="W35" i="43"/>
  <c r="W104" i="43"/>
  <c r="W324" i="43" s="1"/>
  <c r="V52" i="43"/>
  <c r="V104" i="43"/>
  <c r="V94" i="43" s="1"/>
  <c r="Q91" i="43"/>
  <c r="T13" i="43"/>
  <c r="T104" i="43"/>
  <c r="S13" i="43"/>
  <c r="S17" i="43" s="1"/>
  <c r="S104" i="43"/>
  <c r="S324" i="43" s="1"/>
  <c r="R13" i="43"/>
  <c r="R50" i="43" s="1"/>
  <c r="R104" i="43"/>
  <c r="R94" i="43" s="1"/>
  <c r="V225" i="43"/>
  <c r="T47" i="43"/>
  <c r="W41" i="43"/>
  <c r="R52" i="43"/>
  <c r="X90" i="43"/>
  <c r="W53" i="43"/>
  <c r="W45" i="43"/>
  <c r="W93" i="43"/>
  <c r="R53" i="43"/>
  <c r="V87" i="43"/>
  <c r="V92" i="43" s="1"/>
  <c r="R87" i="43"/>
  <c r="R92" i="43" s="1"/>
  <c r="R41" i="43"/>
  <c r="S36" i="43"/>
  <c r="Q90" i="43"/>
  <c r="V53" i="43"/>
  <c r="R58" i="43"/>
  <c r="S94" i="43"/>
  <c r="R93" i="43"/>
  <c r="W37" i="43"/>
  <c r="T53" i="43"/>
  <c r="S53" i="43"/>
  <c r="X47" i="43"/>
  <c r="S45" i="43"/>
  <c r="W52" i="43"/>
  <c r="V82" i="43"/>
  <c r="V83" i="43" s="1"/>
  <c r="V84" i="43" s="1"/>
  <c r="W83" i="43"/>
  <c r="Q82" i="43"/>
  <c r="Q83" i="43" s="1"/>
  <c r="Q84" i="43" s="1"/>
  <c r="R82" i="43"/>
  <c r="R83" i="43" s="1"/>
  <c r="S82" i="43"/>
  <c r="S83" i="43" s="1"/>
  <c r="T82" i="43"/>
  <c r="T83" i="43" s="1"/>
  <c r="X82" i="43"/>
  <c r="X83" i="43" s="1"/>
  <c r="T17" i="43"/>
  <c r="T50" i="43"/>
  <c r="R35" i="43"/>
  <c r="Q13" i="43"/>
  <c r="Q17" i="43" s="1"/>
  <c r="Q19" i="43" s="1"/>
  <c r="Q22" i="43" s="1"/>
  <c r="Q25" i="43" s="1"/>
  <c r="S35" i="43"/>
  <c r="T35" i="43"/>
  <c r="X93" i="43"/>
  <c r="U93" i="43"/>
  <c r="V13" i="43"/>
  <c r="W36" i="43"/>
  <c r="S41" i="43"/>
  <c r="R37" i="43"/>
  <c r="V45" i="43"/>
  <c r="U47" i="43"/>
  <c r="W94" i="43"/>
  <c r="T93" i="43"/>
  <c r="U10" i="43"/>
  <c r="U71" i="43" s="1"/>
  <c r="T36" i="43"/>
  <c r="W13" i="43"/>
  <c r="V41" i="43"/>
  <c r="R36" i="43"/>
  <c r="S37" i="43"/>
  <c r="U36" i="43"/>
  <c r="T37" i="43"/>
  <c r="T41" i="43"/>
  <c r="T52" i="43"/>
  <c r="S52" i="43"/>
  <c r="W90" i="43"/>
  <c r="V37" i="43"/>
  <c r="V36" i="43"/>
  <c r="R47" i="43"/>
  <c r="Q94" i="43"/>
  <c r="Q93" i="43"/>
  <c r="Q87" i="43"/>
  <c r="Q92" i="43" s="1"/>
  <c r="R90" i="43"/>
  <c r="S90" i="43"/>
  <c r="U90" i="43"/>
  <c r="V90" i="43"/>
  <c r="K2" i="22"/>
  <c r="L2" i="22" s="1"/>
  <c r="V211" i="43" l="1"/>
  <c r="V213" i="43"/>
  <c r="V324" i="43"/>
  <c r="V210" i="43"/>
  <c r="R17" i="43"/>
  <c r="S91" i="43"/>
  <c r="T91" i="43"/>
  <c r="T324" i="43"/>
  <c r="V91" i="43"/>
  <c r="S50" i="43"/>
  <c r="W106" i="43"/>
  <c r="W211" i="43"/>
  <c r="W213" i="43"/>
  <c r="W210" i="43"/>
  <c r="W100" i="43"/>
  <c r="W97" i="43"/>
  <c r="W96" i="43"/>
  <c r="U53" i="43"/>
  <c r="U104" i="43"/>
  <c r="U324" i="43" s="1"/>
  <c r="R106" i="43"/>
  <c r="R110" i="43" s="1"/>
  <c r="R116" i="43" s="1"/>
  <c r="R119" i="43" s="1"/>
  <c r="T106" i="43"/>
  <c r="T213" i="43"/>
  <c r="T211" i="43"/>
  <c r="T210" i="43"/>
  <c r="T100" i="43"/>
  <c r="T97" i="43"/>
  <c r="T96" i="43"/>
  <c r="T94" i="43"/>
  <c r="R91" i="43"/>
  <c r="S106" i="43"/>
  <c r="S213" i="43"/>
  <c r="S211" i="43"/>
  <c r="S210" i="43"/>
  <c r="S100" i="43"/>
  <c r="S97" i="43"/>
  <c r="S96" i="43"/>
  <c r="W91" i="43"/>
  <c r="V106" i="43"/>
  <c r="V100" i="43"/>
  <c r="V97" i="43"/>
  <c r="V96" i="43"/>
  <c r="Q124" i="43"/>
  <c r="Q122" i="43"/>
  <c r="Q123" i="43"/>
  <c r="W84" i="43"/>
  <c r="T84" i="43"/>
  <c r="X84" i="43"/>
  <c r="R84" i="43"/>
  <c r="S84" i="43"/>
  <c r="U84" i="43"/>
  <c r="U37" i="43"/>
  <c r="V17" i="43"/>
  <c r="V50" i="43"/>
  <c r="R51" i="43"/>
  <c r="R19" i="43"/>
  <c r="U52" i="43"/>
  <c r="U35" i="43"/>
  <c r="U41" i="43"/>
  <c r="U13" i="43"/>
  <c r="S51" i="43"/>
  <c r="S19" i="43"/>
  <c r="W50" i="43"/>
  <c r="W17" i="43"/>
  <c r="V35" i="43"/>
  <c r="T51" i="43"/>
  <c r="T19" i="43"/>
  <c r="W110" i="43" l="1"/>
  <c r="W116" i="43" s="1"/>
  <c r="W330" i="43"/>
  <c r="V110" i="43"/>
  <c r="V116" i="43" s="1"/>
  <c r="V330" i="43"/>
  <c r="S110" i="43"/>
  <c r="S116" i="43" s="1"/>
  <c r="S330" i="43"/>
  <c r="T110" i="43"/>
  <c r="T116" i="43" s="1"/>
  <c r="T330" i="43"/>
  <c r="T98" i="43"/>
  <c r="W98" i="43"/>
  <c r="W99" i="43"/>
  <c r="R124" i="43"/>
  <c r="R123" i="43"/>
  <c r="R122" i="43"/>
  <c r="Q128" i="43"/>
  <c r="Q135" i="43" s="1"/>
  <c r="Q144" i="43"/>
  <c r="T99" i="43"/>
  <c r="V99" i="43"/>
  <c r="V98" i="43"/>
  <c r="S99" i="43"/>
  <c r="S98" i="43"/>
  <c r="U106" i="43"/>
  <c r="U211" i="43"/>
  <c r="U213" i="43"/>
  <c r="U210" i="43"/>
  <c r="U96" i="43"/>
  <c r="U100" i="43"/>
  <c r="U97" i="43"/>
  <c r="U94" i="43"/>
  <c r="U91" i="43"/>
  <c r="W51" i="43"/>
  <c r="W19" i="43"/>
  <c r="U17" i="43"/>
  <c r="U50" i="43"/>
  <c r="V19" i="43"/>
  <c r="V51" i="43"/>
  <c r="T22" i="43"/>
  <c r="T25" i="43" s="1"/>
  <c r="T56" i="43"/>
  <c r="R22" i="43"/>
  <c r="R25" i="43" s="1"/>
  <c r="R56" i="43"/>
  <c r="S22" i="43"/>
  <c r="S25" i="43" s="1"/>
  <c r="S56" i="43"/>
  <c r="AD193" i="43"/>
  <c r="AE193" i="43" s="1"/>
  <c r="AF193" i="43" s="1"/>
  <c r="AG193" i="43" s="1"/>
  <c r="AH193" i="43" s="1"/>
  <c r="AI193" i="43" s="1"/>
  <c r="AJ193" i="43" s="1"/>
  <c r="AK193" i="43" s="1"/>
  <c r="AL193" i="43" s="1"/>
  <c r="AM193" i="43" s="1"/>
  <c r="AN193" i="43" s="1"/>
  <c r="T119" i="43" l="1"/>
  <c r="T332" i="43"/>
  <c r="T331" i="43"/>
  <c r="S119" i="43"/>
  <c r="S332" i="43"/>
  <c r="S331" i="43"/>
  <c r="V119" i="43"/>
  <c r="V331" i="43"/>
  <c r="V332" i="43"/>
  <c r="U110" i="43"/>
  <c r="U116" i="43" s="1"/>
  <c r="U330" i="43"/>
  <c r="W119" i="43"/>
  <c r="W332" i="43"/>
  <c r="W331" i="43"/>
  <c r="R128" i="43"/>
  <c r="R135" i="43" s="1"/>
  <c r="R144" i="43"/>
  <c r="U99" i="43"/>
  <c r="U98" i="43"/>
  <c r="Q136" i="43"/>
  <c r="Q138" i="43"/>
  <c r="W22" i="43"/>
  <c r="W25" i="43" s="1"/>
  <c r="W56" i="43"/>
  <c r="R57" i="43"/>
  <c r="R59" i="43"/>
  <c r="R55" i="43"/>
  <c r="R54" i="43"/>
  <c r="V22" i="43"/>
  <c r="V25" i="43" s="1"/>
  <c r="V56" i="43"/>
  <c r="T54" i="43"/>
  <c r="T57" i="43"/>
  <c r="T55" i="43"/>
  <c r="S57" i="43"/>
  <c r="S55" i="43"/>
  <c r="S54" i="43"/>
  <c r="U51" i="43"/>
  <c r="U19" i="43"/>
  <c r="V122" i="43" l="1"/>
  <c r="V123" i="43"/>
  <c r="V124" i="43"/>
  <c r="W124" i="43"/>
  <c r="W122" i="43"/>
  <c r="W123" i="43"/>
  <c r="S124" i="43"/>
  <c r="S144" i="43" s="1"/>
  <c r="S150" i="43" s="1"/>
  <c r="S152" i="43" s="1"/>
  <c r="S122" i="43"/>
  <c r="S123" i="43"/>
  <c r="U119" i="43"/>
  <c r="U332" i="43"/>
  <c r="U331" i="43"/>
  <c r="T124" i="43"/>
  <c r="T122" i="43"/>
  <c r="T123" i="43"/>
  <c r="R138" i="43"/>
  <c r="R136" i="43"/>
  <c r="W57" i="43"/>
  <c r="W55" i="43"/>
  <c r="W54" i="43"/>
  <c r="V54" i="43"/>
  <c r="V57" i="43"/>
  <c r="V55" i="43"/>
  <c r="U22" i="43"/>
  <c r="U25" i="43" s="1"/>
  <c r="U56" i="43"/>
  <c r="S153" i="43" l="1"/>
  <c r="S170" i="43"/>
  <c r="S58" i="43"/>
  <c r="S59" i="43"/>
  <c r="S333" i="43"/>
  <c r="S323" i="43" s="1"/>
  <c r="S326" i="43" s="1"/>
  <c r="S128" i="43"/>
  <c r="S135" i="43" s="1"/>
  <c r="T320" i="43"/>
  <c r="T321" i="43"/>
  <c r="T144" i="43"/>
  <c r="T150" i="43" s="1"/>
  <c r="T152" i="43" s="1"/>
  <c r="T333" i="43"/>
  <c r="T323" i="43" s="1"/>
  <c r="T128" i="43"/>
  <c r="T135" i="43" s="1"/>
  <c r="S320" i="43"/>
  <c r="S321" i="43"/>
  <c r="W333" i="43"/>
  <c r="W323" i="43" s="1"/>
  <c r="W326" i="43" s="1"/>
  <c r="W128" i="43"/>
  <c r="W135" i="43" s="1"/>
  <c r="W144" i="43"/>
  <c r="W150" i="43" s="1"/>
  <c r="W152" i="43" s="1"/>
  <c r="V333" i="43"/>
  <c r="V323" i="43" s="1"/>
  <c r="V326" i="43" s="1"/>
  <c r="V128" i="43"/>
  <c r="V135" i="43" s="1"/>
  <c r="V144" i="43"/>
  <c r="V150" i="43" s="1"/>
  <c r="V152" i="43" s="1"/>
  <c r="W320" i="43"/>
  <c r="W321" i="43"/>
  <c r="U124" i="43"/>
  <c r="U122" i="43"/>
  <c r="U123" i="43"/>
  <c r="V320" i="43"/>
  <c r="V321" i="43"/>
  <c r="U57" i="43"/>
  <c r="U55" i="43"/>
  <c r="U54" i="43"/>
  <c r="AC145" i="43"/>
  <c r="AA194" i="43"/>
  <c r="AB194" i="43"/>
  <c r="AC194" i="43"/>
  <c r="T326" i="43" l="1"/>
  <c r="V153" i="43"/>
  <c r="V170" i="43"/>
  <c r="V58" i="43"/>
  <c r="V59" i="43"/>
  <c r="T315" i="43"/>
  <c r="T136" i="43"/>
  <c r="T138" i="43"/>
  <c r="V315" i="43"/>
  <c r="V138" i="43"/>
  <c r="T153" i="43"/>
  <c r="T170" i="43"/>
  <c r="T58" i="43"/>
  <c r="T59" i="43"/>
  <c r="W153" i="43"/>
  <c r="W58" i="43"/>
  <c r="W170" i="43"/>
  <c r="W59" i="43"/>
  <c r="U321" i="43"/>
  <c r="U320" i="43"/>
  <c r="W315" i="43"/>
  <c r="W138" i="43"/>
  <c r="W136" i="43"/>
  <c r="U333" i="43"/>
  <c r="U323" i="43" s="1"/>
  <c r="U326" i="43" s="1"/>
  <c r="U128" i="43"/>
  <c r="U135" i="43" s="1"/>
  <c r="U144" i="43"/>
  <c r="U150" i="43" s="1"/>
  <c r="U152" i="43" s="1"/>
  <c r="S315" i="43"/>
  <c r="S138" i="43"/>
  <c r="S136" i="43"/>
  <c r="B22" i="253"/>
  <c r="C21" i="253"/>
  <c r="C20" i="253"/>
  <c r="C12" i="253"/>
  <c r="C18" i="253" s="1"/>
  <c r="D10" i="253"/>
  <c r="E10" i="253" s="1"/>
  <c r="F10" i="253" s="1"/>
  <c r="G10" i="253" s="1"/>
  <c r="H10" i="253" s="1"/>
  <c r="I10" i="253" s="1"/>
  <c r="J10" i="253" s="1"/>
  <c r="B3" i="253"/>
  <c r="G13" i="253" s="1"/>
  <c r="AD202" i="43"/>
  <c r="AE202" i="43" s="1"/>
  <c r="AF202" i="43" s="1"/>
  <c r="AG202" i="43" s="1"/>
  <c r="AH202" i="43" s="1"/>
  <c r="AI202" i="43" s="1"/>
  <c r="AJ202" i="43" s="1"/>
  <c r="AK202" i="43" s="1"/>
  <c r="AL202" i="43" s="1"/>
  <c r="AM202" i="43" s="1"/>
  <c r="AN202" i="43" s="1"/>
  <c r="P138" i="43"/>
  <c r="O138" i="43"/>
  <c r="N138" i="43"/>
  <c r="M138" i="43"/>
  <c r="L138" i="43"/>
  <c r="K138" i="43"/>
  <c r="J138" i="43"/>
  <c r="I138" i="43"/>
  <c r="H138" i="43"/>
  <c r="T316" i="43" l="1"/>
  <c r="T317" i="43"/>
  <c r="W316" i="43"/>
  <c r="W317" i="43"/>
  <c r="U315" i="43"/>
  <c r="U136" i="43"/>
  <c r="U138" i="43"/>
  <c r="S316" i="43"/>
  <c r="S317" i="43"/>
  <c r="V317" i="43"/>
  <c r="V316" i="43"/>
  <c r="V136" i="43"/>
  <c r="U153" i="43"/>
  <c r="U170" i="43"/>
  <c r="U58" i="43"/>
  <c r="U59" i="43"/>
  <c r="F13" i="253"/>
  <c r="D13" i="253"/>
  <c r="C13" i="253"/>
  <c r="I13" i="253"/>
  <c r="H13" i="253"/>
  <c r="E13" i="253"/>
  <c r="B162" i="43"/>
  <c r="AB145" i="43"/>
  <c r="AA145" i="43"/>
  <c r="Z145" i="43"/>
  <c r="Y145" i="43"/>
  <c r="AC245" i="43"/>
  <c r="AD181" i="43"/>
  <c r="AE181" i="43" s="1"/>
  <c r="AF181" i="43" s="1"/>
  <c r="AG181" i="43" s="1"/>
  <c r="AH181" i="43" s="1"/>
  <c r="AI181" i="43" s="1"/>
  <c r="AJ181" i="43" s="1"/>
  <c r="AK181" i="43" s="1"/>
  <c r="AL181" i="43" s="1"/>
  <c r="AM181" i="43" s="1"/>
  <c r="AN181" i="43" s="1"/>
  <c r="U316" i="43" l="1"/>
  <c r="U317" i="43"/>
  <c r="C14" i="253"/>
  <c r="C25" i="253"/>
  <c r="AF45" i="43"/>
  <c r="AF156" i="43" s="1"/>
  <c r="AG45" i="43"/>
  <c r="AG156" i="43" s="1"/>
  <c r="AD184" i="43"/>
  <c r="AD198" i="43"/>
  <c r="AE198" i="43" s="1"/>
  <c r="AF198" i="43" s="1"/>
  <c r="AG198" i="43" s="1"/>
  <c r="AH198" i="43" s="1"/>
  <c r="AI198" i="43" s="1"/>
  <c r="AJ198" i="43" s="1"/>
  <c r="AK198" i="43" s="1"/>
  <c r="AL198" i="43" s="1"/>
  <c r="AM198" i="43" s="1"/>
  <c r="AN198" i="43" s="1"/>
  <c r="D25" i="253" l="1"/>
  <c r="C15" i="253"/>
  <c r="AA179" i="43"/>
  <c r="AA273" i="43" s="1"/>
  <c r="AC179" i="43"/>
  <c r="AC273" i="43" s="1"/>
  <c r="AB179" i="43"/>
  <c r="AB273" i="43" s="1"/>
  <c r="AD248" i="43"/>
  <c r="AE248" i="43" s="1"/>
  <c r="AF248" i="43" s="1"/>
  <c r="AG248" i="43" s="1"/>
  <c r="AH248" i="43" s="1"/>
  <c r="AI248" i="43" s="1"/>
  <c r="AJ248" i="43" s="1"/>
  <c r="AK248" i="43" s="1"/>
  <c r="AL248" i="43" s="1"/>
  <c r="AM248" i="43" s="1"/>
  <c r="AN248" i="43" s="1"/>
  <c r="AE148" i="43"/>
  <c r="AF148" i="43" s="1"/>
  <c r="AG148" i="43" s="1"/>
  <c r="AH148" i="43" s="1"/>
  <c r="AI148" i="43" s="1"/>
  <c r="AJ148" i="43" s="1"/>
  <c r="AK148" i="43" s="1"/>
  <c r="AL148" i="43" s="1"/>
  <c r="AM148" i="43" s="1"/>
  <c r="AN148" i="43" s="1"/>
  <c r="AC151" i="43"/>
  <c r="AF210" i="43"/>
  <c r="AB105" i="43"/>
  <c r="AA105" i="43"/>
  <c r="Z105" i="43"/>
  <c r="Y105" i="43"/>
  <c r="AC105" i="43"/>
  <c r="AC111" i="43"/>
  <c r="AB111" i="43"/>
  <c r="AA111" i="43"/>
  <c r="Z111" i="43"/>
  <c r="Y111" i="43"/>
  <c r="E25" i="253" l="1"/>
  <c r="AG210" i="43"/>
  <c r="AH210" i="43" s="1"/>
  <c r="AI210" i="43" s="1"/>
  <c r="AJ210" i="43" s="1"/>
  <c r="AK210" i="43" s="1"/>
  <c r="AL210" i="43" s="1"/>
  <c r="AM210" i="43" s="1"/>
  <c r="AN210" i="43" s="1"/>
  <c r="AD268" i="43"/>
  <c r="AD270" i="43" s="1"/>
  <c r="AD243" i="43"/>
  <c r="AE243" i="43" s="1"/>
  <c r="AF243" i="43" s="1"/>
  <c r="AG243" i="43" s="1"/>
  <c r="AH243" i="43" s="1"/>
  <c r="AI243" i="43" s="1"/>
  <c r="AJ243" i="43" s="1"/>
  <c r="AK243" i="43" s="1"/>
  <c r="AL243" i="43" s="1"/>
  <c r="AM243" i="43" s="1"/>
  <c r="AN243" i="43" s="1"/>
  <c r="AS210" i="43" l="1"/>
  <c r="F25" i="253"/>
  <c r="X273" i="43"/>
  <c r="G25" i="253" l="1"/>
  <c r="AE83" i="43"/>
  <c r="AF83" i="43" s="1"/>
  <c r="AG83" i="43" s="1"/>
  <c r="AH83" i="43" s="1"/>
  <c r="AI83" i="43" s="1"/>
  <c r="AJ83" i="43" s="1"/>
  <c r="AK83" i="43" s="1"/>
  <c r="AL83" i="43" s="1"/>
  <c r="AM83" i="43" s="1"/>
  <c r="AN83" i="43" s="1"/>
  <c r="AG272" i="43"/>
  <c r="AH272" i="43" s="1"/>
  <c r="AI272" i="43" s="1"/>
  <c r="AJ272" i="43" s="1"/>
  <c r="AK272" i="43" s="1"/>
  <c r="AL272" i="43" s="1"/>
  <c r="AM272" i="43" s="1"/>
  <c r="AN272" i="43" s="1"/>
  <c r="Z80" i="43"/>
  <c r="Y80" i="43"/>
  <c r="AA80" i="43"/>
  <c r="AB80" i="43"/>
  <c r="AC80" i="43"/>
  <c r="AC256" i="43"/>
  <c r="Z258" i="43"/>
  <c r="AA258" i="43"/>
  <c r="AA224" i="43" s="1"/>
  <c r="AA261" i="43" s="1"/>
  <c r="AB258" i="43"/>
  <c r="AB224" i="43" s="1"/>
  <c r="AB261" i="43" s="1"/>
  <c r="AC258" i="43"/>
  <c r="AC224" i="43" s="1"/>
  <c r="AC261" i="43" s="1"/>
  <c r="Y258" i="43"/>
  <c r="H25" i="253" l="1"/>
  <c r="Z224" i="43"/>
  <c r="Z261" i="43" s="1"/>
  <c r="AC257" i="43"/>
  <c r="AD257" i="43" s="1"/>
  <c r="Y224" i="43"/>
  <c r="Y261" i="43" s="1"/>
  <c r="I13" i="22"/>
  <c r="AG262" i="43"/>
  <c r="AH262" i="43" s="1"/>
  <c r="AI262" i="43" s="1"/>
  <c r="AJ262" i="43" s="1"/>
  <c r="AK262" i="43" s="1"/>
  <c r="AL262" i="43" s="1"/>
  <c r="AM262" i="43" s="1"/>
  <c r="AN262" i="43" s="1"/>
  <c r="AE289" i="43"/>
  <c r="AD189" i="43"/>
  <c r="AE225" i="43"/>
  <c r="AF225" i="43" s="1"/>
  <c r="AG225" i="43" s="1"/>
  <c r="AE254" i="43"/>
  <c r="AF254" i="43" s="1"/>
  <c r="AG254" i="43" s="1"/>
  <c r="AE253" i="43"/>
  <c r="AF253" i="43" s="1"/>
  <c r="AG253" i="43" s="1"/>
  <c r="AH253" i="43" s="1"/>
  <c r="AI253" i="43" s="1"/>
  <c r="AJ253" i="43" s="1"/>
  <c r="AK253" i="43" s="1"/>
  <c r="AL253" i="43" s="1"/>
  <c r="AM253" i="43" s="1"/>
  <c r="AN253" i="43" s="1"/>
  <c r="AD252" i="43"/>
  <c r="Y245" i="43"/>
  <c r="Z245" i="43"/>
  <c r="AA245" i="43"/>
  <c r="AB245" i="43"/>
  <c r="AD242" i="43"/>
  <c r="AE242" i="43" s="1"/>
  <c r="AF242" i="43" s="1"/>
  <c r="AG242" i="43" s="1"/>
  <c r="AH242" i="43" s="1"/>
  <c r="AI242" i="43" s="1"/>
  <c r="AJ242" i="43" s="1"/>
  <c r="AK242" i="43" s="1"/>
  <c r="AL242" i="43" s="1"/>
  <c r="AM242" i="43" s="1"/>
  <c r="AN242" i="43" s="1"/>
  <c r="AD241" i="43"/>
  <c r="AE241" i="43" s="1"/>
  <c r="AF241" i="43" s="1"/>
  <c r="AG241" i="43" s="1"/>
  <c r="AH241" i="43" s="1"/>
  <c r="AI241" i="43" s="1"/>
  <c r="AJ241" i="43" s="1"/>
  <c r="AK241" i="43" s="1"/>
  <c r="AL241" i="43" s="1"/>
  <c r="AM241" i="43" s="1"/>
  <c r="AN240" i="43"/>
  <c r="AD240" i="43"/>
  <c r="AE240" i="43" s="1"/>
  <c r="AF240" i="43" s="1"/>
  <c r="AG240" i="43" s="1"/>
  <c r="AH240" i="43" s="1"/>
  <c r="AI240" i="43" s="1"/>
  <c r="AJ240" i="43" s="1"/>
  <c r="AK240" i="43" s="1"/>
  <c r="AL240" i="43" s="1"/>
  <c r="AN239" i="43"/>
  <c r="AD239" i="43"/>
  <c r="AE239" i="43" s="1"/>
  <c r="AF239" i="43" s="1"/>
  <c r="AG239" i="43" s="1"/>
  <c r="AH239" i="43" s="1"/>
  <c r="AI239" i="43" s="1"/>
  <c r="AJ239" i="43" s="1"/>
  <c r="AK239" i="43" s="1"/>
  <c r="AL239" i="43" s="1"/>
  <c r="AJ238" i="43"/>
  <c r="AK238" i="43" s="1"/>
  <c r="AL238" i="43" s="1"/>
  <c r="AM238" i="43" s="1"/>
  <c r="AN238" i="43" s="1"/>
  <c r="AD238" i="43"/>
  <c r="AE238" i="43" s="1"/>
  <c r="AF238" i="43" s="1"/>
  <c r="AG238" i="43" s="1"/>
  <c r="AH238" i="43" s="1"/>
  <c r="AL237" i="43"/>
  <c r="AM237" i="43" s="1"/>
  <c r="AN237" i="43" s="1"/>
  <c r="AD237" i="43"/>
  <c r="AE237" i="43" s="1"/>
  <c r="AF237" i="43" s="1"/>
  <c r="AG237" i="43" s="1"/>
  <c r="AH237" i="43" s="1"/>
  <c r="AI237" i="43" s="1"/>
  <c r="AJ237" i="43" s="1"/>
  <c r="AK236" i="43"/>
  <c r="AL236" i="43" s="1"/>
  <c r="AM236" i="43" s="1"/>
  <c r="AN236" i="43" s="1"/>
  <c r="AD236" i="43"/>
  <c r="AE236" i="43" s="1"/>
  <c r="AF236" i="43" s="1"/>
  <c r="AG236" i="43" s="1"/>
  <c r="AH236" i="43" s="1"/>
  <c r="AI236" i="43" s="1"/>
  <c r="AK235" i="43"/>
  <c r="AL235" i="43" s="1"/>
  <c r="AM235" i="43" s="1"/>
  <c r="AN235" i="43" s="1"/>
  <c r="AD235" i="43"/>
  <c r="AE235" i="43" s="1"/>
  <c r="AF235" i="43" s="1"/>
  <c r="AG235" i="43" s="1"/>
  <c r="AH235" i="43" s="1"/>
  <c r="AI235" i="43" s="1"/>
  <c r="AD234" i="43"/>
  <c r="AE234" i="43" s="1"/>
  <c r="AF234" i="43" s="1"/>
  <c r="AG234" i="43" s="1"/>
  <c r="AH234" i="43" s="1"/>
  <c r="AI234" i="43" s="1"/>
  <c r="AJ234" i="43" s="1"/>
  <c r="AK234" i="43" s="1"/>
  <c r="AL234" i="43" s="1"/>
  <c r="AM234" i="43" s="1"/>
  <c r="AN234" i="43" s="1"/>
  <c r="AI233" i="43"/>
  <c r="AJ233" i="43" s="1"/>
  <c r="AK233" i="43" s="1"/>
  <c r="AL233" i="43" s="1"/>
  <c r="AM233" i="43" s="1"/>
  <c r="AN233" i="43" s="1"/>
  <c r="AD233" i="43"/>
  <c r="AE233" i="43" s="1"/>
  <c r="AF233" i="43" s="1"/>
  <c r="AG233" i="43" s="1"/>
  <c r="AH232" i="43"/>
  <c r="AI232" i="43" s="1"/>
  <c r="AJ232" i="43" s="1"/>
  <c r="AK232" i="43" s="1"/>
  <c r="AL232" i="43" s="1"/>
  <c r="AM232" i="43" s="1"/>
  <c r="AN232" i="43" s="1"/>
  <c r="AD232" i="43"/>
  <c r="AE232" i="43" s="1"/>
  <c r="AF231" i="43"/>
  <c r="AD231" i="43"/>
  <c r="AE275" i="43"/>
  <c r="AE274" i="43"/>
  <c r="AF274" i="43" s="1"/>
  <c r="AG274" i="43" s="1"/>
  <c r="AH274" i="43" s="1"/>
  <c r="AI274" i="43" s="1"/>
  <c r="AJ274" i="43" s="1"/>
  <c r="AK274" i="43" s="1"/>
  <c r="AL274" i="43" s="1"/>
  <c r="AM274" i="43" s="1"/>
  <c r="AN274" i="43" s="1"/>
  <c r="AE284" i="43"/>
  <c r="AF284" i="43" s="1"/>
  <c r="AG284" i="43" s="1"/>
  <c r="AE283" i="43"/>
  <c r="AE252" i="43" s="1"/>
  <c r="AB301" i="43"/>
  <c r="AA301" i="43"/>
  <c r="Z301" i="43"/>
  <c r="Y301" i="43"/>
  <c r="AC301" i="43"/>
  <c r="AB299" i="43"/>
  <c r="AA299" i="43"/>
  <c r="Z299" i="43"/>
  <c r="Y299" i="43"/>
  <c r="AC299" i="43"/>
  <c r="Y268" i="43"/>
  <c r="I25" i="253" l="1"/>
  <c r="J22" i="253" s="1"/>
  <c r="AE189" i="43"/>
  <c r="AF189" i="43" s="1"/>
  <c r="AG189" i="43" s="1"/>
  <c r="AH189" i="43" s="1"/>
  <c r="AI189" i="43" s="1"/>
  <c r="AJ189" i="43" s="1"/>
  <c r="AE257" i="43"/>
  <c r="AG231" i="43"/>
  <c r="AF283" i="43"/>
  <c r="AG283" i="43" s="1"/>
  <c r="AF289" i="43"/>
  <c r="AF232" i="43"/>
  <c r="AH231" i="43" l="1"/>
  <c r="AF257" i="43"/>
  <c r="AG289" i="43"/>
  <c r="AK189" i="43"/>
  <c r="AI231" i="43" l="1"/>
  <c r="AG257" i="43"/>
  <c r="AH289" i="43"/>
  <c r="AL189" i="43"/>
  <c r="AJ231" i="43" l="1"/>
  <c r="AH257" i="43"/>
  <c r="AI289" i="43"/>
  <c r="AM189" i="43"/>
  <c r="AK231" i="43" l="1"/>
  <c r="AI257" i="43"/>
  <c r="AJ289" i="43"/>
  <c r="AN189" i="43"/>
  <c r="AL231" i="43" l="1"/>
  <c r="AJ257" i="43"/>
  <c r="AK289" i="43"/>
  <c r="AM231" i="43" l="1"/>
  <c r="AK257" i="43"/>
  <c r="AL289" i="43"/>
  <c r="AN231" i="43" l="1"/>
  <c r="AL257" i="43"/>
  <c r="AM289" i="43"/>
  <c r="AM257" i="43" l="1"/>
  <c r="AN289" i="43"/>
  <c r="AN257" i="43" l="1"/>
  <c r="AD200" i="43" l="1"/>
  <c r="AE200" i="43" s="1"/>
  <c r="AD191" i="43"/>
  <c r="AE191" i="43" s="1"/>
  <c r="AD190" i="43"/>
  <c r="AE190" i="43" s="1"/>
  <c r="AD188" i="43"/>
  <c r="AD187" i="43"/>
  <c r="AE184" i="43"/>
  <c r="AD183" i="43"/>
  <c r="AE183" i="43" s="1"/>
  <c r="AH45" i="43"/>
  <c r="AH156" i="43" s="1"/>
  <c r="AD43" i="43"/>
  <c r="AB43" i="43"/>
  <c r="AA43" i="43"/>
  <c r="Z43" i="43"/>
  <c r="Z47" i="43" s="1"/>
  <c r="AC43" i="43"/>
  <c r="Y43" i="43"/>
  <c r="Y47" i="43" s="1"/>
  <c r="AC33" i="43"/>
  <c r="AB33" i="43"/>
  <c r="AT33" i="43" s="1"/>
  <c r="X9" i="43"/>
  <c r="AC47" i="43" l="1"/>
  <c r="AQ43" i="43"/>
  <c r="X10" i="43"/>
  <c r="X71" i="43" s="1"/>
  <c r="X36" i="43"/>
  <c r="AA45" i="43"/>
  <c r="AA47" i="43"/>
  <c r="AB45" i="43"/>
  <c r="AB47" i="43"/>
  <c r="AE188" i="43"/>
  <c r="AE187" i="43"/>
  <c r="AD192" i="43"/>
  <c r="AD199" i="43"/>
  <c r="AE199" i="43" s="1"/>
  <c r="AF199" i="43" s="1"/>
  <c r="AG199" i="43" s="1"/>
  <c r="AH199" i="43" s="1"/>
  <c r="AI199" i="43" s="1"/>
  <c r="AJ199" i="43" s="1"/>
  <c r="AK199" i="43" s="1"/>
  <c r="AL199" i="43" s="1"/>
  <c r="AM199" i="43" s="1"/>
  <c r="Y45" i="43"/>
  <c r="Z45" i="43"/>
  <c r="AI45" i="43"/>
  <c r="AI156" i="43" s="1"/>
  <c r="AC45" i="43"/>
  <c r="X37" i="43" l="1"/>
  <c r="X104" i="43"/>
  <c r="X324" i="43" s="1"/>
  <c r="X53" i="43"/>
  <c r="X52" i="43"/>
  <c r="X35" i="43"/>
  <c r="X41" i="43"/>
  <c r="X13" i="43"/>
  <c r="AE192" i="43"/>
  <c r="AN199" i="43"/>
  <c r="AC48" i="43"/>
  <c r="AJ45" i="43"/>
  <c r="AJ156" i="43" s="1"/>
  <c r="X106" i="43" l="1"/>
  <c r="X211" i="43"/>
  <c r="X213" i="43"/>
  <c r="X210" i="43"/>
  <c r="X100" i="43"/>
  <c r="X97" i="43"/>
  <c r="X96" i="43"/>
  <c r="X91" i="43"/>
  <c r="X94" i="43"/>
  <c r="X50" i="43"/>
  <c r="X17" i="43"/>
  <c r="AK45" i="43"/>
  <c r="AK156" i="43" s="1"/>
  <c r="X98" i="43" l="1"/>
  <c r="X110" i="43"/>
  <c r="X116" i="43" s="1"/>
  <c r="X330" i="43"/>
  <c r="X99" i="43"/>
  <c r="X51" i="43"/>
  <c r="X19" i="43"/>
  <c r="AL45" i="43"/>
  <c r="AL156" i="43" s="1"/>
  <c r="X119" i="43" l="1"/>
  <c r="X332" i="43"/>
  <c r="X331" i="43"/>
  <c r="X22" i="43"/>
  <c r="X25" i="43" s="1"/>
  <c r="X56" i="43"/>
  <c r="AM45" i="43"/>
  <c r="AM156" i="43" s="1"/>
  <c r="D3" i="254" s="1"/>
  <c r="X124" i="43" l="1"/>
  <c r="X122" i="43"/>
  <c r="X123" i="43"/>
  <c r="X54" i="43"/>
  <c r="X57" i="43"/>
  <c r="X55" i="43"/>
  <c r="AN45" i="43"/>
  <c r="AN156" i="43" s="1"/>
  <c r="X320" i="43" l="1"/>
  <c r="X321" i="43"/>
  <c r="X333" i="43"/>
  <c r="X323" i="43" s="1"/>
  <c r="X128" i="43"/>
  <c r="X135" i="43" s="1"/>
  <c r="X144" i="43"/>
  <c r="X150" i="43" s="1"/>
  <c r="X152" i="43" s="1"/>
  <c r="AB89" i="43"/>
  <c r="AB93" i="43" s="1"/>
  <c r="AA89" i="43"/>
  <c r="AA93" i="43" s="1"/>
  <c r="Z89" i="43"/>
  <c r="Z93" i="43" s="1"/>
  <c r="Y89" i="43"/>
  <c r="AC89" i="43"/>
  <c r="Y86" i="43"/>
  <c r="Z86" i="43"/>
  <c r="AA86" i="43"/>
  <c r="AB86" i="43"/>
  <c r="AC86" i="43"/>
  <c r="AC304" i="43"/>
  <c r="AC303" i="43"/>
  <c r="X326" i="43" l="1"/>
  <c r="X315" i="43"/>
  <c r="X138" i="43"/>
  <c r="X136" i="43"/>
  <c r="X59" i="43"/>
  <c r="X153" i="43"/>
  <c r="X170" i="43"/>
  <c r="X58" i="43"/>
  <c r="AC87" i="43"/>
  <c r="AC297" i="43" s="1"/>
  <c r="AC270" i="43" s="1"/>
  <c r="AC93" i="43"/>
  <c r="AD93" i="43" s="1"/>
  <c r="AE93" i="43" s="1"/>
  <c r="AF93" i="43" s="1"/>
  <c r="AG93" i="43" s="1"/>
  <c r="AH93" i="43" s="1"/>
  <c r="AI93" i="43" s="1"/>
  <c r="AJ93" i="43" s="1"/>
  <c r="AK93" i="43" s="1"/>
  <c r="AL93" i="43" s="1"/>
  <c r="AM93" i="43" s="1"/>
  <c r="AN93" i="43" s="1"/>
  <c r="Y87" i="43"/>
  <c r="Y92" i="43" s="1"/>
  <c r="Y93" i="43"/>
  <c r="AB90" i="43"/>
  <c r="AA90" i="43"/>
  <c r="Z90" i="43"/>
  <c r="AC90" i="43"/>
  <c r="Y90" i="43"/>
  <c r="Z87" i="43"/>
  <c r="AA87" i="43"/>
  <c r="AB87" i="43"/>
  <c r="AD86" i="43" l="1"/>
  <c r="X317" i="43"/>
  <c r="X316" i="43"/>
  <c r="AA297" i="43"/>
  <c r="AA92" i="43"/>
  <c r="AB297" i="43"/>
  <c r="AB92" i="43"/>
  <c r="Z297" i="43"/>
  <c r="Z92" i="43"/>
  <c r="AC92" i="43"/>
  <c r="AD92" i="43" s="1"/>
  <c r="AE92" i="43" s="1"/>
  <c r="AF92" i="43" s="1"/>
  <c r="AG92" i="43" s="1"/>
  <c r="AH92" i="43" s="1"/>
  <c r="AI92" i="43" s="1"/>
  <c r="AJ92" i="43" s="1"/>
  <c r="AK92" i="43" s="1"/>
  <c r="AL92" i="43" s="1"/>
  <c r="AM92" i="43" s="1"/>
  <c r="AN92" i="43" s="1"/>
  <c r="AD87" i="43"/>
  <c r="Y297" i="43"/>
  <c r="Y270" i="43" s="1"/>
  <c r="AC302" i="43"/>
  <c r="AC300" i="43"/>
  <c r="AC305" i="43" s="1"/>
  <c r="Z222" i="43" l="1"/>
  <c r="Y201" i="43"/>
  <c r="Y179" i="43"/>
  <c r="Z201" i="43"/>
  <c r="Z179" i="43"/>
  <c r="Z273" i="43" s="1"/>
  <c r="AA201" i="43"/>
  <c r="AB201" i="43"/>
  <c r="AC201" i="43"/>
  <c r="AC222" i="43"/>
  <c r="AQ222" i="43" s="1"/>
  <c r="AC266" i="43"/>
  <c r="Y166" i="43"/>
  <c r="Y162" i="43"/>
  <c r="Z166" i="43"/>
  <c r="Z162" i="43"/>
  <c r="Y159" i="43"/>
  <c r="Y156" i="43"/>
  <c r="Y155" i="43"/>
  <c r="Z159" i="43"/>
  <c r="Z156" i="43"/>
  <c r="Z155" i="43"/>
  <c r="Z269" i="43" s="1"/>
  <c r="AC162" i="43"/>
  <c r="AA166" i="43"/>
  <c r="AA162" i="43"/>
  <c r="AB166" i="43"/>
  <c r="AB162" i="43"/>
  <c r="AA159" i="43"/>
  <c r="AB159" i="43"/>
  <c r="AA156" i="43"/>
  <c r="AA155" i="43"/>
  <c r="AA269" i="43" s="1"/>
  <c r="AB156" i="43"/>
  <c r="AB155" i="43"/>
  <c r="AB269" i="43" s="1"/>
  <c r="AC156" i="43"/>
  <c r="AQ156" i="43" s="1"/>
  <c r="AC155" i="43"/>
  <c r="Y151" i="43"/>
  <c r="Y216" i="43" s="1"/>
  <c r="Y217" i="43" s="1"/>
  <c r="Y149" i="43"/>
  <c r="Z151" i="43"/>
  <c r="Z149" i="43"/>
  <c r="AA151" i="43"/>
  <c r="AA149" i="43"/>
  <c r="AB151" i="43"/>
  <c r="AB149" i="43"/>
  <c r="AC149" i="43"/>
  <c r="Y81" i="43" l="1"/>
  <c r="Y82" i="43" s="1"/>
  <c r="Y83" i="43" s="1"/>
  <c r="Y84" i="43" s="1"/>
  <c r="B3" i="254"/>
  <c r="B4" i="254"/>
  <c r="Y269" i="43"/>
  <c r="Y275" i="43" s="1"/>
  <c r="B7" i="254"/>
  <c r="AC269" i="43"/>
  <c r="AC275" i="43" s="1"/>
  <c r="AQ155" i="43"/>
  <c r="Y273" i="43"/>
  <c r="Y266" i="43" s="1"/>
  <c r="AC271" i="43"/>
  <c r="AC81" i="43"/>
  <c r="Y271" i="43"/>
  <c r="AB271" i="43"/>
  <c r="AB81" i="43"/>
  <c r="AA271" i="43"/>
  <c r="AA81" i="43"/>
  <c r="Z271" i="43"/>
  <c r="Z81" i="43"/>
  <c r="Y311" i="43"/>
  <c r="Y318" i="43"/>
  <c r="Y264" i="43"/>
  <c r="Y274" i="43" l="1"/>
  <c r="Y272" i="43"/>
  <c r="AA82" i="43"/>
  <c r="AA83" i="43" s="1"/>
  <c r="AB82" i="43"/>
  <c r="AB83" i="43" s="1"/>
  <c r="Z82" i="43"/>
  <c r="Z83" i="43" s="1"/>
  <c r="AC82" i="43"/>
  <c r="AC83" i="43" s="1"/>
  <c r="Y319" i="43"/>
  <c r="Y313" i="43"/>
  <c r="Y312" i="43"/>
  <c r="Y314" i="43" s="1"/>
  <c r="AM133" i="43"/>
  <c r="AL133" i="43"/>
  <c r="Y160" i="43"/>
  <c r="Z146" i="43"/>
  <c r="Y146" i="43"/>
  <c r="Z134" i="43"/>
  <c r="Y134" i="43"/>
  <c r="AA84" i="43" l="1"/>
  <c r="AC84" i="43"/>
  <c r="Z84" i="43"/>
  <c r="AB84" i="43"/>
  <c r="Z160" i="43"/>
  <c r="Z108" i="43" l="1"/>
  <c r="AA108" i="43"/>
  <c r="AB108" i="43"/>
  <c r="AC108" i="43"/>
  <c r="Y108" i="43"/>
  <c r="AC38" i="43"/>
  <c r="AB38" i="43"/>
  <c r="AA38" i="43"/>
  <c r="Z38" i="43"/>
  <c r="Y38" i="43"/>
  <c r="Y9" i="43"/>
  <c r="Z9" i="43"/>
  <c r="Z10" i="43" s="1"/>
  <c r="Z71" i="43" s="1"/>
  <c r="AA9" i="43"/>
  <c r="AA10" i="43" s="1"/>
  <c r="AB9" i="43"/>
  <c r="AB10" i="43" s="1"/>
  <c r="AC9" i="43"/>
  <c r="Y16" i="43"/>
  <c r="Z16" i="43"/>
  <c r="AA16" i="43"/>
  <c r="AB16" i="43"/>
  <c r="AC16" i="43"/>
  <c r="AB35" i="43" l="1"/>
  <c r="AB71" i="43"/>
  <c r="AA35" i="43"/>
  <c r="AA71" i="43"/>
  <c r="AD9" i="43"/>
  <c r="AE9" i="43" s="1"/>
  <c r="AQ9" i="43"/>
  <c r="Y10" i="43"/>
  <c r="Z35" i="43"/>
  <c r="AC10" i="43"/>
  <c r="AC36" i="43"/>
  <c r="AB37" i="43"/>
  <c r="AB36" i="43"/>
  <c r="Y36" i="43"/>
  <c r="AA37" i="43"/>
  <c r="AA36" i="43"/>
  <c r="Z37" i="43"/>
  <c r="Z36" i="43"/>
  <c r="Y35" i="43" l="1"/>
  <c r="Y71" i="43"/>
  <c r="AQ10" i="43"/>
  <c r="AC71" i="43"/>
  <c r="Y276" i="43"/>
  <c r="Y37" i="43"/>
  <c r="AC52" i="43"/>
  <c r="AC35" i="43"/>
  <c r="AT35" i="43" s="1"/>
  <c r="AF9" i="43"/>
  <c r="AG9" i="43" s="1"/>
  <c r="AH9" i="43" s="1"/>
  <c r="AI9" i="43" s="1"/>
  <c r="AJ9" i="43" s="1"/>
  <c r="AK9" i="43" s="1"/>
  <c r="AL9" i="43" s="1"/>
  <c r="AM9" i="43" s="1"/>
  <c r="AC13" i="43"/>
  <c r="AQ13" i="43" s="1"/>
  <c r="AC37" i="43"/>
  <c r="AA13" i="43"/>
  <c r="AC41" i="43"/>
  <c r="AD41" i="43" s="1"/>
  <c r="AB41" i="43"/>
  <c r="Z13" i="43"/>
  <c r="AB13" i="43"/>
  <c r="AA41" i="43"/>
  <c r="Z41" i="43"/>
  <c r="Y41" i="43"/>
  <c r="Y13" i="43"/>
  <c r="AN9" i="43" l="1"/>
  <c r="AP9" i="43"/>
  <c r="E305" i="43"/>
  <c r="E304" i="43"/>
  <c r="E303" i="43"/>
  <c r="E302" i="43"/>
  <c r="Y300" i="43"/>
  <c r="Y305" i="43" s="1"/>
  <c r="AG300" i="43"/>
  <c r="AH300" i="43" s="1"/>
  <c r="AI300" i="43" s="1"/>
  <c r="AJ300" i="43" s="1"/>
  <c r="AK300" i="43" s="1"/>
  <c r="AL300" i="43" s="1"/>
  <c r="AM300" i="43" s="1"/>
  <c r="AN300" i="43" s="1"/>
  <c r="Y292" i="43"/>
  <c r="Z288" i="43" s="1"/>
  <c r="AB290" i="43"/>
  <c r="AA290" i="43"/>
  <c r="Z290" i="43"/>
  <c r="AH284" i="43"/>
  <c r="AI284" i="43" s="1"/>
  <c r="AJ284" i="43" s="1"/>
  <c r="AK284" i="43" s="1"/>
  <c r="AL284" i="43" s="1"/>
  <c r="AM284" i="43" s="1"/>
  <c r="AN284" i="43" s="1"/>
  <c r="Z268" i="43"/>
  <c r="Z270" i="43"/>
  <c r="AG263" i="43"/>
  <c r="AH263" i="43" s="1"/>
  <c r="AH254" i="43"/>
  <c r="AI254" i="43" s="1"/>
  <c r="AJ254" i="43" s="1"/>
  <c r="AK254" i="43" s="1"/>
  <c r="AL254" i="43" s="1"/>
  <c r="AM254" i="43" s="1"/>
  <c r="AN254" i="43" s="1"/>
  <c r="AF252" i="43"/>
  <c r="J22" i="22"/>
  <c r="AH225" i="43"/>
  <c r="Y222" i="43"/>
  <c r="AF183" i="43"/>
  <c r="AG183" i="43" s="1"/>
  <c r="AH183" i="43" s="1"/>
  <c r="AI183" i="43" s="1"/>
  <c r="AJ183" i="43" s="1"/>
  <c r="AK183" i="43" s="1"/>
  <c r="AL183" i="43" s="1"/>
  <c r="AM183" i="43" s="1"/>
  <c r="AN183" i="43" s="1"/>
  <c r="Y178" i="43"/>
  <c r="Y185" i="43" s="1"/>
  <c r="Y325" i="43" s="1"/>
  <c r="AG169" i="43"/>
  <c r="AH169" i="43" s="1"/>
  <c r="AI169" i="43" s="1"/>
  <c r="AJ169" i="43" s="1"/>
  <c r="AK169" i="43" s="1"/>
  <c r="AL169" i="43" s="1"/>
  <c r="AM169" i="43" s="1"/>
  <c r="AN169" i="43" s="1"/>
  <c r="Y167" i="43"/>
  <c r="AN146" i="43"/>
  <c r="AM146" i="43"/>
  <c r="AL146" i="43"/>
  <c r="AK146" i="43"/>
  <c r="AJ146" i="43"/>
  <c r="AI146" i="43"/>
  <c r="AH146" i="43"/>
  <c r="AG146" i="43"/>
  <c r="AF146" i="43"/>
  <c r="AE146" i="43"/>
  <c r="AD146" i="43"/>
  <c r="AC146" i="43"/>
  <c r="AB146" i="43"/>
  <c r="AA146" i="43"/>
  <c r="AN133" i="43"/>
  <c r="AK133" i="43"/>
  <c r="AJ133" i="43"/>
  <c r="AI133" i="43"/>
  <c r="AH133" i="43"/>
  <c r="AG133" i="43"/>
  <c r="AF133" i="43"/>
  <c r="AE133" i="43"/>
  <c r="AD133" i="43"/>
  <c r="AD127" i="43"/>
  <c r="AE127" i="43" s="1"/>
  <c r="AF127" i="43" s="1"/>
  <c r="AG127" i="43" s="1"/>
  <c r="AH127" i="43" s="1"/>
  <c r="AI127" i="43" s="1"/>
  <c r="AJ127" i="43" s="1"/>
  <c r="AK127" i="43" s="1"/>
  <c r="AL127" i="43" s="1"/>
  <c r="AM127" i="43" s="1"/>
  <c r="AN127" i="43" s="1"/>
  <c r="AD126" i="43"/>
  <c r="AE126" i="43" s="1"/>
  <c r="AF126" i="43" s="1"/>
  <c r="AG126" i="43" s="1"/>
  <c r="AH126" i="43" s="1"/>
  <c r="AI126" i="43" s="1"/>
  <c r="AJ126" i="43" s="1"/>
  <c r="AK126" i="43" s="1"/>
  <c r="AL126" i="43" s="1"/>
  <c r="AM126" i="43" s="1"/>
  <c r="AN126" i="43" s="1"/>
  <c r="AD125" i="43"/>
  <c r="AE125" i="43" s="1"/>
  <c r="AF125" i="43" s="1"/>
  <c r="AG125" i="43" s="1"/>
  <c r="AH125" i="43" s="1"/>
  <c r="AI125" i="43" s="1"/>
  <c r="AJ125" i="43" s="1"/>
  <c r="AK125" i="43" s="1"/>
  <c r="AL125" i="43" s="1"/>
  <c r="AM125" i="43" s="1"/>
  <c r="AN125" i="43" s="1"/>
  <c r="AD117" i="43"/>
  <c r="AE117" i="43" s="1"/>
  <c r="AF117" i="43" s="1"/>
  <c r="AG117" i="43" s="1"/>
  <c r="AH117" i="43" s="1"/>
  <c r="AI117" i="43" s="1"/>
  <c r="AJ117" i="43" s="1"/>
  <c r="AK117" i="43" s="1"/>
  <c r="AL117" i="43" s="1"/>
  <c r="AM117" i="43" s="1"/>
  <c r="AN117" i="43" s="1"/>
  <c r="Y109" i="43"/>
  <c r="AD107" i="43"/>
  <c r="AE107" i="43" s="1"/>
  <c r="AF107" i="43" s="1"/>
  <c r="AG107" i="43" s="1"/>
  <c r="AH107" i="43" s="1"/>
  <c r="AI107" i="43" s="1"/>
  <c r="AJ107" i="43" s="1"/>
  <c r="AK107" i="43" s="1"/>
  <c r="AL107" i="43" s="1"/>
  <c r="AM107" i="43" s="1"/>
  <c r="AN107" i="43" s="1"/>
  <c r="AG53" i="43"/>
  <c r="Y40" i="43"/>
  <c r="Y39" i="43"/>
  <c r="AF21" i="43"/>
  <c r="Y118" i="43"/>
  <c r="Y53" i="43"/>
  <c r="I3" i="43"/>
  <c r="C33" i="22"/>
  <c r="B33" i="22" s="1"/>
  <c r="D32" i="22"/>
  <c r="E32" i="22" s="1"/>
  <c r="F32" i="22" s="1"/>
  <c r="G32" i="22" s="1"/>
  <c r="H32" i="22" s="1"/>
  <c r="I32" i="22" s="1"/>
  <c r="J32" i="22" s="1"/>
  <c r="K32" i="22" s="1"/>
  <c r="L32" i="22" s="1"/>
  <c r="M32" i="22" s="1"/>
  <c r="I15" i="22"/>
  <c r="K67" i="22" s="1"/>
  <c r="B11" i="22"/>
  <c r="B2" i="22"/>
  <c r="B49" i="22" l="1"/>
  <c r="B35" i="22"/>
  <c r="B47" i="22"/>
  <c r="B40" i="22"/>
  <c r="B44" i="22"/>
  <c r="B43" i="22"/>
  <c r="B46" i="22"/>
  <c r="B37" i="22"/>
  <c r="B48" i="22"/>
  <c r="D33" i="22"/>
  <c r="E33" i="22" s="1"/>
  <c r="F33" i="22" s="1"/>
  <c r="G33" i="22" s="1"/>
  <c r="H33" i="22" s="1"/>
  <c r="I33" i="22" s="1"/>
  <c r="J33" i="22" s="1"/>
  <c r="K33" i="22" s="1"/>
  <c r="L33" i="22" s="1"/>
  <c r="C44" i="22"/>
  <c r="C35" i="22"/>
  <c r="C37" i="22"/>
  <c r="AH53" i="43"/>
  <c r="AI53" i="43" s="1"/>
  <c r="AJ53" i="43" s="1"/>
  <c r="AK53" i="43" s="1"/>
  <c r="AL53" i="43" s="1"/>
  <c r="AM53" i="43" s="1"/>
  <c r="AN53" i="43" s="1"/>
  <c r="Z259" i="43"/>
  <c r="Y259" i="43"/>
  <c r="J66" i="22"/>
  <c r="M33" i="22"/>
  <c r="J3" i="43"/>
  <c r="K3" i="43" s="1"/>
  <c r="L3" i="43" s="1"/>
  <c r="Y228" i="43"/>
  <c r="Y223" i="43"/>
  <c r="Y225" i="43" s="1"/>
  <c r="AG21" i="43"/>
  <c r="Y303" i="43"/>
  <c r="AB280" i="43"/>
  <c r="AB286" i="43" s="1"/>
  <c r="AH21" i="43"/>
  <c r="AI263" i="43"/>
  <c r="Y226" i="43"/>
  <c r="Y114" i="43"/>
  <c r="Y104" i="43"/>
  <c r="Y52" i="43"/>
  <c r="AI225" i="43"/>
  <c r="AH283" i="43"/>
  <c r="AG252" i="43"/>
  <c r="AB270" i="43"/>
  <c r="Y192" i="43"/>
  <c r="Y197" i="43" s="1"/>
  <c r="Y203" i="43" s="1"/>
  <c r="Y304" i="43"/>
  <c r="Y302" i="43"/>
  <c r="B39" i="22" l="1"/>
  <c r="C36" i="22"/>
  <c r="B45" i="22"/>
  <c r="B50" i="22" s="1"/>
  <c r="C39" i="22"/>
  <c r="C38" i="22"/>
  <c r="AS53" i="43"/>
  <c r="Y204" i="43"/>
  <c r="Y205" i="43"/>
  <c r="Y213" i="43"/>
  <c r="Y211" i="43"/>
  <c r="Y210" i="43"/>
  <c r="Y324" i="43"/>
  <c r="Y100" i="43"/>
  <c r="Y229" i="43"/>
  <c r="Y94" i="43"/>
  <c r="Y91" i="43"/>
  <c r="Y97" i="43"/>
  <c r="Y96" i="43"/>
  <c r="AJ263" i="43"/>
  <c r="AI21" i="43"/>
  <c r="M3" i="43"/>
  <c r="AA270" i="43"/>
  <c r="AJ225" i="43"/>
  <c r="Y295" i="43"/>
  <c r="Y106" i="43"/>
  <c r="Y330" i="43" s="1"/>
  <c r="Y50" i="43"/>
  <c r="Y17" i="43"/>
  <c r="AI283" i="43"/>
  <c r="AH252" i="43"/>
  <c r="Y206" i="43" l="1"/>
  <c r="Y207" i="43" s="1"/>
  <c r="Y98" i="43"/>
  <c r="Y99" i="43"/>
  <c r="AK263" i="43"/>
  <c r="AJ21" i="43"/>
  <c r="Y110" i="43"/>
  <c r="Y116" i="43" s="1"/>
  <c r="N3" i="43"/>
  <c r="AK225" i="43"/>
  <c r="AJ283" i="43"/>
  <c r="AI252" i="43"/>
  <c r="Y51" i="43"/>
  <c r="Y19" i="43"/>
  <c r="Y331" i="43" l="1"/>
  <c r="Y332" i="43"/>
  <c r="AL263" i="43"/>
  <c r="AK21" i="43"/>
  <c r="O3" i="43"/>
  <c r="Y56" i="43"/>
  <c r="Y22" i="43"/>
  <c r="AL225" i="43"/>
  <c r="AJ252" i="43"/>
  <c r="AK283" i="43"/>
  <c r="Y119" i="43"/>
  <c r="AM263" i="43" l="1"/>
  <c r="AL21" i="43"/>
  <c r="AL283" i="43"/>
  <c r="AK252" i="43"/>
  <c r="AM225" i="43"/>
  <c r="P3" i="43"/>
  <c r="AN263" i="43" l="1"/>
  <c r="AN21" i="43" s="1"/>
  <c r="AM21" i="43"/>
  <c r="Q3" i="43"/>
  <c r="AM283" i="43"/>
  <c r="AL252" i="43"/>
  <c r="AN225" i="43"/>
  <c r="R3" i="43" l="1"/>
  <c r="AN283" i="43"/>
  <c r="AN252" i="43" s="1"/>
  <c r="AM252" i="43"/>
  <c r="S3" i="43" l="1"/>
  <c r="T3" i="43" l="1"/>
  <c r="U3" i="43" l="1"/>
  <c r="V3" i="43" l="1"/>
  <c r="W3" i="43" l="1"/>
  <c r="X3" i="43" l="1"/>
  <c r="Y3" i="43" l="1"/>
  <c r="Z3" i="43" l="1"/>
  <c r="Z275" i="43" l="1"/>
  <c r="Z292" i="43"/>
  <c r="Z216" i="43"/>
  <c r="Z39" i="43"/>
  <c r="Z266" i="43"/>
  <c r="Z121" i="43"/>
  <c r="Z147" i="43" s="1"/>
  <c r="AA3" i="43"/>
  <c r="Z120" i="43"/>
  <c r="Z178" i="43" l="1"/>
  <c r="Z185" i="43" s="1"/>
  <c r="Z325" i="43" s="1"/>
  <c r="Z167" i="43"/>
  <c r="AA268" i="43"/>
  <c r="Z274" i="43"/>
  <c r="Z291" i="43"/>
  <c r="Z294" i="43" s="1"/>
  <c r="Z192" i="43"/>
  <c r="Z197" i="43" s="1"/>
  <c r="Z203" i="43" s="1"/>
  <c r="Z205" i="43" s="1"/>
  <c r="Z206" i="43" s="1"/>
  <c r="Z207" i="43" s="1"/>
  <c r="Z311" i="43"/>
  <c r="Z318" i="43"/>
  <c r="Z319" i="43" s="1"/>
  <c r="Z209" i="43"/>
  <c r="AA288" i="43"/>
  <c r="Z293" i="43"/>
  <c r="Z114" i="43"/>
  <c r="Z53" i="43"/>
  <c r="Z40" i="43"/>
  <c r="Z109" i="43"/>
  <c r="AA275" i="43"/>
  <c r="AA292" i="43"/>
  <c r="AA216" i="43"/>
  <c r="AA121" i="43"/>
  <c r="AA120" i="43"/>
  <c r="AA39" i="43"/>
  <c r="AB3" i="43"/>
  <c r="AA134" i="43"/>
  <c r="Z118" i="43"/>
  <c r="Z212" i="43"/>
  <c r="Z272" i="43"/>
  <c r="AA293" i="43" l="1"/>
  <c r="Z264" i="43"/>
  <c r="Z204" i="43"/>
  <c r="AA160" i="43"/>
  <c r="AA109" i="43"/>
  <c r="AA222" i="43"/>
  <c r="AA259" i="43" s="1"/>
  <c r="AA192" i="43"/>
  <c r="AA197" i="43" s="1"/>
  <c r="AA203" i="43" s="1"/>
  <c r="Z215" i="43"/>
  <c r="Z217" i="43" s="1"/>
  <c r="Z313" i="43"/>
  <c r="Z312" i="43"/>
  <c r="Z314" i="43" s="1"/>
  <c r="Z302" i="43"/>
  <c r="Z304" i="43"/>
  <c r="Z303" i="43"/>
  <c r="Z300" i="43"/>
  <c r="Z305" i="43" s="1"/>
  <c r="Z276" i="43"/>
  <c r="Z104" i="43"/>
  <c r="Z100" i="43" s="1"/>
  <c r="Z226" i="43"/>
  <c r="Z223" i="43"/>
  <c r="Z225" i="43" s="1"/>
  <c r="AB275" i="43"/>
  <c r="AB292" i="43"/>
  <c r="AB216" i="43"/>
  <c r="AB134" i="43"/>
  <c r="AB39" i="43"/>
  <c r="AC3" i="43"/>
  <c r="AB120" i="43"/>
  <c r="AB121" i="43"/>
  <c r="AA311" i="43"/>
  <c r="AA318" i="43"/>
  <c r="AA319" i="43" s="1"/>
  <c r="AA40" i="43"/>
  <c r="AA53" i="43"/>
  <c r="AA167" i="43"/>
  <c r="AA114" i="43"/>
  <c r="AB278" i="43"/>
  <c r="Z52" i="43"/>
  <c r="AA209" i="43"/>
  <c r="AA147" i="43"/>
  <c r="AA178" i="43"/>
  <c r="AA185" i="43" s="1"/>
  <c r="AA325" i="43" s="1"/>
  <c r="AA118" i="43"/>
  <c r="AA212" i="43"/>
  <c r="AB288" i="43"/>
  <c r="AA291" i="43"/>
  <c r="AA294" i="43" s="1"/>
  <c r="AA205" i="43" l="1"/>
  <c r="AA206" i="43" s="1"/>
  <c r="AA207" i="43" s="1"/>
  <c r="AA285" i="43"/>
  <c r="AA266" i="43"/>
  <c r="AB293" i="43"/>
  <c r="Z91" i="43"/>
  <c r="Z94" i="43"/>
  <c r="Z97" i="43"/>
  <c r="Z96" i="43"/>
  <c r="AA264" i="43"/>
  <c r="AB268" i="43"/>
  <c r="AA274" i="43"/>
  <c r="AA272" i="43"/>
  <c r="AB254" i="43"/>
  <c r="AB212" i="43"/>
  <c r="AB178" i="43"/>
  <c r="AB185" i="43" s="1"/>
  <c r="AB325" i="43" s="1"/>
  <c r="AB222" i="43"/>
  <c r="AB192" i="43"/>
  <c r="AB197" i="43" s="1"/>
  <c r="AB203" i="43" s="1"/>
  <c r="AB249" i="43"/>
  <c r="AB279" i="43"/>
  <c r="AB291" i="43"/>
  <c r="AB294" i="43" s="1"/>
  <c r="Z50" i="43"/>
  <c r="Z17" i="43"/>
  <c r="AB209" i="43"/>
  <c r="AC292" i="43"/>
  <c r="AE165" i="43"/>
  <c r="AD3" i="43"/>
  <c r="AC134" i="43"/>
  <c r="AA226" i="43"/>
  <c r="AA215" i="43"/>
  <c r="AA217" i="43" s="1"/>
  <c r="AA300" i="43"/>
  <c r="AA305" i="43" s="1"/>
  <c r="AA304" i="43"/>
  <c r="AA303" i="43"/>
  <c r="AA302" i="43"/>
  <c r="AB251" i="43"/>
  <c r="AB252" i="43"/>
  <c r="AB40" i="43"/>
  <c r="AB118" i="43"/>
  <c r="AB253" i="43"/>
  <c r="AB160" i="43"/>
  <c r="AA223" i="43"/>
  <c r="Z324" i="43"/>
  <c r="Z295" i="43"/>
  <c r="Z106" i="43"/>
  <c r="Z330" i="43" s="1"/>
  <c r="Z211" i="43"/>
  <c r="Z213" i="43"/>
  <c r="Z210" i="43"/>
  <c r="AA276" i="43"/>
  <c r="AA104" i="43"/>
  <c r="AA100" i="43" s="1"/>
  <c r="AA313" i="43"/>
  <c r="AA312" i="43"/>
  <c r="AA314" i="43" s="1"/>
  <c r="AB147" i="43"/>
  <c r="AB167" i="43"/>
  <c r="AA52" i="43"/>
  <c r="AB109" i="43"/>
  <c r="AB114" i="43"/>
  <c r="AB318" i="43"/>
  <c r="AB319" i="43" s="1"/>
  <c r="AB311" i="43"/>
  <c r="AC288" i="43"/>
  <c r="AC278" i="43"/>
  <c r="AA204" i="43"/>
  <c r="AB205" i="43" l="1"/>
  <c r="AB206" i="43" s="1"/>
  <c r="AB207" i="43" s="1"/>
  <c r="AB223" i="43"/>
  <c r="AB225" i="43" s="1"/>
  <c r="AB259" i="43"/>
  <c r="AC259" i="43"/>
  <c r="AD288" i="43"/>
  <c r="AA225" i="43"/>
  <c r="Z98" i="43"/>
  <c r="Z99" i="43" s="1"/>
  <c r="AA94" i="43"/>
  <c r="AA91" i="43"/>
  <c r="AA97" i="43"/>
  <c r="AA96" i="43"/>
  <c r="AB264" i="43"/>
  <c r="AB52" i="43"/>
  <c r="AB204" i="43"/>
  <c r="AC160" i="43"/>
  <c r="AA324" i="43"/>
  <c r="AA295" i="43"/>
  <c r="AA284" i="43"/>
  <c r="AA106" i="43"/>
  <c r="AA330" i="43" s="1"/>
  <c r="AA213" i="43"/>
  <c r="AA211" i="43"/>
  <c r="AA210" i="43"/>
  <c r="AB312" i="43"/>
  <c r="AB314" i="43" s="1"/>
  <c r="AB313" i="43"/>
  <c r="AB53" i="43"/>
  <c r="AA50" i="43"/>
  <c r="AA17" i="43"/>
  <c r="AC114" i="43"/>
  <c r="AB215" i="43"/>
  <c r="AB217" i="43" s="1"/>
  <c r="AE3" i="43"/>
  <c r="AB300" i="43"/>
  <c r="AB305" i="43" s="1"/>
  <c r="AB304" i="43"/>
  <c r="AB303" i="43"/>
  <c r="AB302" i="43"/>
  <c r="Z110" i="43"/>
  <c r="AB104" i="43"/>
  <c r="AB100" i="43" s="1"/>
  <c r="Z19" i="43"/>
  <c r="Z51" i="43"/>
  <c r="AB226" i="43"/>
  <c r="AT52" i="43" l="1"/>
  <c r="AA98" i="43"/>
  <c r="AA99" i="43" s="1"/>
  <c r="AB210" i="43"/>
  <c r="AB91" i="43"/>
  <c r="AB94" i="43"/>
  <c r="AB97" i="43"/>
  <c r="AB96" i="43"/>
  <c r="AA51" i="43"/>
  <c r="AA19" i="43"/>
  <c r="Z56" i="43"/>
  <c r="Z22" i="43"/>
  <c r="Z25" i="43" s="1"/>
  <c r="Z54" i="43" s="1"/>
  <c r="AB324" i="43"/>
  <c r="AB295" i="43"/>
  <c r="AB284" i="43"/>
  <c r="AB106" i="43"/>
  <c r="AB330" i="43" s="1"/>
  <c r="AB211" i="43"/>
  <c r="AB250" i="43"/>
  <c r="AB213" i="43"/>
  <c r="AB50" i="43"/>
  <c r="AB17" i="43"/>
  <c r="Z116" i="43"/>
  <c r="AF190" i="43"/>
  <c r="AG190" i="43" s="1"/>
  <c r="AH190" i="43" s="1"/>
  <c r="AI190" i="43" s="1"/>
  <c r="AJ190" i="43" s="1"/>
  <c r="AK190" i="43" s="1"/>
  <c r="AL190" i="43" s="1"/>
  <c r="AM190" i="43" s="1"/>
  <c r="AN190" i="43" s="1"/>
  <c r="AF184" i="43"/>
  <c r="AG184" i="43" s="1"/>
  <c r="AH184" i="43" s="1"/>
  <c r="AI184" i="43" s="1"/>
  <c r="AJ184" i="43" s="1"/>
  <c r="AK184" i="43" s="1"/>
  <c r="AL184" i="43" s="1"/>
  <c r="AM184" i="43" s="1"/>
  <c r="AN184" i="43" s="1"/>
  <c r="AF165" i="43"/>
  <c r="AG165" i="43" s="1"/>
  <c r="AH165" i="43" s="1"/>
  <c r="AF200" i="43"/>
  <c r="AG200" i="43" s="1"/>
  <c r="AH200" i="43" s="1"/>
  <c r="AI200" i="43" s="1"/>
  <c r="AJ200" i="43" s="1"/>
  <c r="AK200" i="43" s="1"/>
  <c r="AL200" i="43" s="1"/>
  <c r="AM200" i="43" s="1"/>
  <c r="AN200" i="43" s="1"/>
  <c r="AF3" i="43"/>
  <c r="AF191" i="43"/>
  <c r="AG191" i="43" s="1"/>
  <c r="AH191" i="43" s="1"/>
  <c r="AI191" i="43" s="1"/>
  <c r="AJ191" i="43" s="1"/>
  <c r="AK191" i="43" s="1"/>
  <c r="AL191" i="43" s="1"/>
  <c r="AM191" i="43" s="1"/>
  <c r="AN191" i="43" s="1"/>
  <c r="AF188" i="43"/>
  <c r="AG188" i="43" s="1"/>
  <c r="AH188" i="43" s="1"/>
  <c r="AI188" i="43" s="1"/>
  <c r="AJ188" i="43" s="1"/>
  <c r="AK188" i="43" s="1"/>
  <c r="AL188" i="43" s="1"/>
  <c r="AM188" i="43" s="1"/>
  <c r="AN188" i="43" s="1"/>
  <c r="AA110" i="43"/>
  <c r="D10" i="254" l="1"/>
  <c r="Z332" i="43"/>
  <c r="Z331" i="43"/>
  <c r="Z55" i="43"/>
  <c r="Z57" i="43"/>
  <c r="AB98" i="43"/>
  <c r="AB99" i="43" s="1"/>
  <c r="AG3" i="43"/>
  <c r="AF187" i="43"/>
  <c r="AF192" i="43" s="1"/>
  <c r="AB110" i="43"/>
  <c r="AA56" i="43"/>
  <c r="AA22" i="43"/>
  <c r="AA25" i="43" s="1"/>
  <c r="AA54" i="43" s="1"/>
  <c r="Z119" i="43"/>
  <c r="AA116" i="43"/>
  <c r="AB19" i="43"/>
  <c r="AB56" i="43" s="1"/>
  <c r="AB51" i="43"/>
  <c r="Z228" i="43"/>
  <c r="Z229" i="43"/>
  <c r="AA332" i="43" l="1"/>
  <c r="AA331" i="43"/>
  <c r="AA55" i="43"/>
  <c r="AA57" i="43"/>
  <c r="AH3" i="43"/>
  <c r="AB22" i="43"/>
  <c r="AB25" i="43" s="1"/>
  <c r="AB54" i="43" s="1"/>
  <c r="Z124" i="43"/>
  <c r="Z123" i="43"/>
  <c r="Z122" i="43"/>
  <c r="AG187" i="43"/>
  <c r="AG192" i="43" s="1"/>
  <c r="AA228" i="43"/>
  <c r="AA229" i="43"/>
  <c r="AA119" i="43"/>
  <c r="AB116" i="43"/>
  <c r="AB331" i="43" l="1"/>
  <c r="AB332" i="43"/>
  <c r="Z144" i="43"/>
  <c r="Z150" i="43" s="1"/>
  <c r="Z152" i="43" s="1"/>
  <c r="Z58" i="43" s="1"/>
  <c r="Z333" i="43"/>
  <c r="Z323" i="43" s="1"/>
  <c r="Z326" i="43" s="1"/>
  <c r="AB55" i="43"/>
  <c r="AB57" i="43"/>
  <c r="AI3" i="43"/>
  <c r="Z128" i="43"/>
  <c r="Z135" i="43" s="1"/>
  <c r="Z138" i="43" s="1"/>
  <c r="AB228" i="43"/>
  <c r="AB229" i="43"/>
  <c r="Z320" i="43"/>
  <c r="Z321" i="43"/>
  <c r="AB119" i="43"/>
  <c r="AA124" i="43"/>
  <c r="AA333" i="43" s="1"/>
  <c r="AA122" i="43"/>
  <c r="AA123" i="43"/>
  <c r="AH187" i="43"/>
  <c r="AH192" i="43" s="1"/>
  <c r="Z59" i="43" l="1"/>
  <c r="Z153" i="43"/>
  <c r="AA321" i="43"/>
  <c r="AA320" i="43"/>
  <c r="AJ3" i="43"/>
  <c r="Z170" i="43"/>
  <c r="AI187" i="43"/>
  <c r="AI192" i="43" s="1"/>
  <c r="AA323" i="43"/>
  <c r="AA326" i="43" s="1"/>
  <c r="AA144" i="43"/>
  <c r="AA150" i="43" s="1"/>
  <c r="AA152" i="43" s="1"/>
  <c r="AA128" i="43"/>
  <c r="AA135" i="43" s="1"/>
  <c r="AA138" i="43" s="1"/>
  <c r="AB124" i="43"/>
  <c r="AB333" i="43" s="1"/>
  <c r="AB123" i="43"/>
  <c r="AB122" i="43"/>
  <c r="Z315" i="43"/>
  <c r="AA58" i="43" l="1"/>
  <c r="AA59" i="43"/>
  <c r="AC109" i="43"/>
  <c r="AK3" i="43"/>
  <c r="Z317" i="43"/>
  <c r="Z316" i="43"/>
  <c r="AB323" i="43"/>
  <c r="AB326" i="43" s="1"/>
  <c r="AB144" i="43"/>
  <c r="AB150" i="43" s="1"/>
  <c r="AB152" i="43" s="1"/>
  <c r="AB128" i="43"/>
  <c r="AB135" i="43" s="1"/>
  <c r="AB138" i="43" s="1"/>
  <c r="AJ187" i="43"/>
  <c r="AJ192" i="43" s="1"/>
  <c r="AA315" i="43"/>
  <c r="AA136" i="43"/>
  <c r="AB320" i="43"/>
  <c r="AB321" i="43"/>
  <c r="AA153" i="43"/>
  <c r="AA170" i="43"/>
  <c r="AB58" i="43" l="1"/>
  <c r="AB59" i="43"/>
  <c r="AD278" i="43"/>
  <c r="AC216" i="43"/>
  <c r="AL3" i="43"/>
  <c r="AA317" i="43"/>
  <c r="AA316" i="43"/>
  <c r="AB153" i="43"/>
  <c r="AB170" i="43"/>
  <c r="AK187" i="43"/>
  <c r="AK192" i="43" s="1"/>
  <c r="AB315" i="43"/>
  <c r="AB136" i="43"/>
  <c r="AC253" i="43" l="1"/>
  <c r="AC252" i="43"/>
  <c r="AC251" i="43"/>
  <c r="AM3" i="43"/>
  <c r="AN3" i="43" s="1"/>
  <c r="AB316" i="43"/>
  <c r="AB317" i="43"/>
  <c r="AL187" i="43"/>
  <c r="AL192" i="43" s="1"/>
  <c r="AM187" i="43" l="1"/>
  <c r="AM192" i="43" s="1"/>
  <c r="AC249" i="43" l="1"/>
  <c r="AC223" i="43"/>
  <c r="AC167" i="43"/>
  <c r="AC192" i="43"/>
  <c r="AC254" i="43"/>
  <c r="AN187" i="43"/>
  <c r="AN192" i="43" s="1"/>
  <c r="AC120" i="43" l="1"/>
  <c r="AC209" i="43"/>
  <c r="AQ209" i="43" s="1"/>
  <c r="AC118" i="43"/>
  <c r="AC264" i="43" l="1"/>
  <c r="AQ264" i="43" s="1"/>
  <c r="AC225" i="43"/>
  <c r="AC215" i="43"/>
  <c r="AC217" i="43" s="1"/>
  <c r="AC197" i="43" l="1"/>
  <c r="AC203" i="43" l="1"/>
  <c r="AQ203" i="43" s="1"/>
  <c r="AC121" i="43"/>
  <c r="AC147" i="43" l="1"/>
  <c r="AC318" i="43"/>
  <c r="AC311" i="43"/>
  <c r="AQ311" i="43" s="1"/>
  <c r="AC178" i="43" l="1"/>
  <c r="AC185" i="43" s="1"/>
  <c r="AC226" i="43"/>
  <c r="AC312" i="43"/>
  <c r="AC314" i="43" s="1"/>
  <c r="AC313" i="43"/>
  <c r="AC319" i="43"/>
  <c r="AC205" i="43" l="1"/>
  <c r="AC206" i="43" s="1"/>
  <c r="AC207" i="43" s="1"/>
  <c r="AQ185" i="43"/>
  <c r="AC325" i="43"/>
  <c r="AT325" i="43" s="1"/>
  <c r="AC204" i="43"/>
  <c r="AC17" i="43" l="1"/>
  <c r="AC39" i="43"/>
  <c r="AC40" i="43"/>
  <c r="AC53" i="43"/>
  <c r="AT53" i="43" s="1"/>
  <c r="AC104" i="43"/>
  <c r="AQ104" i="43" s="1"/>
  <c r="AC212" i="43"/>
  <c r="AT212" i="43" s="1"/>
  <c r="AC100" i="43" l="1"/>
  <c r="AT100" i="43" s="1"/>
  <c r="AC96" i="43"/>
  <c r="AT96" i="43" s="1"/>
  <c r="AC19" i="43"/>
  <c r="AC56" i="43" s="1"/>
  <c r="AT56" i="43" s="1"/>
  <c r="AQ17" i="43"/>
  <c r="AD52" i="43"/>
  <c r="AE52" i="43" s="1"/>
  <c r="AF52" i="43" s="1"/>
  <c r="AG52" i="43" s="1"/>
  <c r="AH52" i="43" s="1"/>
  <c r="AI52" i="43" s="1"/>
  <c r="AJ52" i="43" s="1"/>
  <c r="AK52" i="43" s="1"/>
  <c r="AL52" i="43" s="1"/>
  <c r="AM52" i="43" s="1"/>
  <c r="AN52" i="43" s="1"/>
  <c r="AC284" i="43"/>
  <c r="AC94" i="43"/>
  <c r="AC91" i="43"/>
  <c r="AC97" i="43"/>
  <c r="AT97" i="43" s="1"/>
  <c r="AC51" i="43"/>
  <c r="AC50" i="43"/>
  <c r="AT50" i="43" s="1"/>
  <c r="AC22" i="43"/>
  <c r="AC25" i="43" s="1"/>
  <c r="AQ25" i="43" s="1"/>
  <c r="AC106" i="43"/>
  <c r="AC210" i="43"/>
  <c r="AT210" i="43" s="1"/>
  <c r="AC295" i="43"/>
  <c r="AC211" i="43"/>
  <c r="AT211" i="43" s="1"/>
  <c r="AC213" i="43"/>
  <c r="AT213" i="43" s="1"/>
  <c r="AC250" i="43"/>
  <c r="AC324" i="43"/>
  <c r="AT324" i="43" s="1"/>
  <c r="AC330" i="43" l="1"/>
  <c r="AQ106" i="43"/>
  <c r="AT51" i="43"/>
  <c r="AC55" i="43"/>
  <c r="AC54" i="43"/>
  <c r="AC57" i="43"/>
  <c r="AC98" i="43"/>
  <c r="AC110" i="43"/>
  <c r="AQ110" i="43" s="1"/>
  <c r="AC99" i="43" l="1"/>
  <c r="AT99" i="43" s="1"/>
  <c r="AT98" i="43"/>
  <c r="AC116" i="43"/>
  <c r="AQ116" i="43" s="1"/>
  <c r="AS52" i="43" l="1"/>
  <c r="AC332" i="43"/>
  <c r="AC331" i="43"/>
  <c r="AC228" i="43"/>
  <c r="AC229" i="43"/>
  <c r="AC119" i="43"/>
  <c r="AC122" i="43" l="1"/>
  <c r="AC124" i="43"/>
  <c r="AC333" i="43" s="1"/>
  <c r="AC123" i="43"/>
  <c r="AC144" i="43" l="1"/>
  <c r="AC150" i="43" s="1"/>
  <c r="AC128" i="43"/>
  <c r="AC323" i="43"/>
  <c r="AC326" i="43" s="1"/>
  <c r="AC320" i="43"/>
  <c r="AC321" i="43"/>
  <c r="AC135" i="43" l="1"/>
  <c r="AC315" i="43" s="1"/>
  <c r="AQ315" i="43" s="1"/>
  <c r="AQ128" i="43"/>
  <c r="AC152" i="43"/>
  <c r="AQ150" i="43"/>
  <c r="AC59" i="43"/>
  <c r="AC58" i="43"/>
  <c r="AF123" i="43"/>
  <c r="AC153" i="43"/>
  <c r="AQ152" i="43" l="1"/>
  <c r="AC170" i="43"/>
  <c r="AC138" i="43"/>
  <c r="AQ135" i="43"/>
  <c r="AC136" i="43"/>
  <c r="AC317" i="43"/>
  <c r="AC316" i="43"/>
  <c r="AG123" i="43" l="1"/>
  <c r="D44" i="22"/>
  <c r="AH123" i="43" l="1"/>
  <c r="AI123" i="43" l="1"/>
  <c r="AJ123" i="43" l="1"/>
  <c r="AK123" i="43" l="1"/>
  <c r="AL123" i="43" l="1"/>
  <c r="AM123" i="43" l="1"/>
  <c r="AN123" i="43" l="1"/>
  <c r="AC280" i="43" l="1"/>
  <c r="AC290" i="43"/>
  <c r="Y25" i="43"/>
  <c r="Y54" i="43" s="1"/>
  <c r="AT54" i="43" s="1"/>
  <c r="Y120" i="43"/>
  <c r="Y121" i="43"/>
  <c r="AC279" i="43" l="1"/>
  <c r="AC286" i="43"/>
  <c r="Y122" i="43"/>
  <c r="Y320" i="43"/>
  <c r="AT320" i="43" s="1"/>
  <c r="Y321" i="43"/>
  <c r="AT321" i="43" s="1"/>
  <c r="Y55" i="43"/>
  <c r="AT55" i="43" s="1"/>
  <c r="Y57" i="43"/>
  <c r="AT57" i="43" s="1"/>
  <c r="AC293" i="43"/>
  <c r="AD293" i="43" s="1"/>
  <c r="AD290" i="43" s="1"/>
  <c r="AC291" i="43"/>
  <c r="Y147" i="43"/>
  <c r="Y124" i="43"/>
  <c r="Y333" i="43" s="1"/>
  <c r="Y123" i="43"/>
  <c r="AD88" i="43" l="1"/>
  <c r="AD89" i="43" s="1"/>
  <c r="AD90" i="43" s="1"/>
  <c r="AD294" i="43"/>
  <c r="AD292" i="43"/>
  <c r="AD182" i="43" s="1"/>
  <c r="AC294" i="43"/>
  <c r="AE291" i="43"/>
  <c r="AF291" i="43" s="1"/>
  <c r="AG291" i="43" s="1"/>
  <c r="AH291" i="43" s="1"/>
  <c r="AI291" i="43" s="1"/>
  <c r="AJ291" i="43" s="1"/>
  <c r="AK291" i="43" s="1"/>
  <c r="AL291" i="43" s="1"/>
  <c r="AM291" i="43" s="1"/>
  <c r="AN291" i="43" s="1"/>
  <c r="AD299" i="43"/>
  <c r="Y128" i="43"/>
  <c r="Y135" i="43" s="1"/>
  <c r="Y138" i="43" s="1"/>
  <c r="Y144" i="43"/>
  <c r="Y150" i="43" s="1"/>
  <c r="Y152" i="43" s="1"/>
  <c r="B2" i="254" s="1"/>
  <c r="Y323" i="43"/>
  <c r="B5" i="254" l="1"/>
  <c r="C2" i="254"/>
  <c r="C4" i="254"/>
  <c r="C3" i="254"/>
  <c r="Y326" i="43"/>
  <c r="AT326" i="43" s="1"/>
  <c r="AT323" i="43"/>
  <c r="Y58" i="43"/>
  <c r="AT58" i="43" s="1"/>
  <c r="Y59" i="43"/>
  <c r="AT59" i="43" s="1"/>
  <c r="Y315" i="43"/>
  <c r="Y317" i="43" s="1"/>
  <c r="AT317" i="43" s="1"/>
  <c r="Y170" i="43"/>
  <c r="Y153" i="43"/>
  <c r="Y136" i="43"/>
  <c r="Z136" i="43"/>
  <c r="C5" i="254" l="1"/>
  <c r="Y316" i="43"/>
  <c r="AT316" i="43" s="1"/>
  <c r="AD114" i="43" l="1"/>
  <c r="AE114" i="43"/>
  <c r="AF114" i="43"/>
  <c r="AG114" i="43"/>
  <c r="AH114" i="43"/>
  <c r="AI114" i="43"/>
  <c r="AJ114" i="43"/>
  <c r="AK114" i="43"/>
  <c r="AL114" i="43"/>
  <c r="AM114" i="43"/>
  <c r="AN114" i="43"/>
  <c r="AF275" i="43" l="1"/>
  <c r="AG275" i="43" s="1"/>
  <c r="AH275" i="43" s="1"/>
  <c r="AI275" i="43" s="1"/>
  <c r="AJ275" i="43" s="1"/>
  <c r="AK275" i="43" s="1"/>
  <c r="AL275" i="43" s="1"/>
  <c r="AM275" i="43" s="1"/>
  <c r="AN275" i="43" s="1"/>
  <c r="AE288" i="43" l="1"/>
  <c r="AE293" i="43"/>
  <c r="AF293" i="43" s="1"/>
  <c r="AG293" i="43" s="1"/>
  <c r="AH293" i="43" s="1"/>
  <c r="AI293" i="43" s="1"/>
  <c r="AJ293" i="43" s="1"/>
  <c r="AK293" i="43" s="1"/>
  <c r="AL293" i="43" s="1"/>
  <c r="AM293" i="43" s="1"/>
  <c r="AN293" i="43" s="1"/>
  <c r="AE290" i="43" l="1"/>
  <c r="AE88" i="43" s="1"/>
  <c r="AE292" i="43" l="1"/>
  <c r="AE299" i="43"/>
  <c r="AE182" i="43"/>
  <c r="AE294" i="43"/>
  <c r="AF288" i="43" l="1"/>
  <c r="AF290" i="43" l="1"/>
  <c r="AF88" i="43" s="1"/>
  <c r="AF299" i="43" l="1"/>
  <c r="AF294" i="43"/>
  <c r="AF292" i="43"/>
  <c r="AC285" i="43"/>
  <c r="AF182" i="43" l="1"/>
  <c r="AG288" i="43" l="1"/>
  <c r="AG290" i="43" l="1"/>
  <c r="AG88" i="43" s="1"/>
  <c r="AG292" i="43"/>
  <c r="AG294" i="43"/>
  <c r="AG182" i="43" l="1"/>
  <c r="AG299" i="43"/>
  <c r="AH288" i="43" l="1"/>
  <c r="AH290" i="43" l="1"/>
  <c r="AH88" i="43" s="1"/>
  <c r="AH292" i="43"/>
  <c r="AH294" i="43"/>
  <c r="AH182" i="43" l="1"/>
  <c r="AH299" i="43"/>
  <c r="AI288" i="43" l="1"/>
  <c r="AI290" i="43" l="1"/>
  <c r="AI88" i="43" s="1"/>
  <c r="AI292" i="43"/>
  <c r="AI294" i="43"/>
  <c r="AI182" i="43" l="1"/>
  <c r="AI299" i="43"/>
  <c r="AJ288" i="43" l="1"/>
  <c r="AJ290" i="43" s="1"/>
  <c r="AJ88" i="43" s="1"/>
  <c r="AJ294" i="43" l="1"/>
  <c r="AJ292" i="43" l="1"/>
  <c r="AJ182" i="43" s="1"/>
  <c r="AJ299" i="43"/>
  <c r="AK288" i="43" l="1"/>
  <c r="AK290" i="43" s="1"/>
  <c r="AK88" i="43" s="1"/>
  <c r="AK294" i="43" l="1"/>
  <c r="AK292" i="43" l="1"/>
  <c r="AK182" i="43" s="1"/>
  <c r="AK299" i="43"/>
  <c r="AL288" i="43" l="1"/>
  <c r="AL290" i="43" s="1"/>
  <c r="AL88" i="43" s="1"/>
  <c r="AL294" i="43" l="1"/>
  <c r="AL292" i="43" l="1"/>
  <c r="AL182" i="43" s="1"/>
  <c r="AL299" i="43"/>
  <c r="AM288" i="43" l="1"/>
  <c r="AM290" i="43" l="1"/>
  <c r="AM88" i="43" s="1"/>
  <c r="AM294" i="43" l="1"/>
  <c r="AM299" i="43"/>
  <c r="AM292" i="43"/>
  <c r="AM182" i="43" s="1"/>
  <c r="AN288" i="43" l="1"/>
  <c r="AN290" i="43" l="1"/>
  <c r="AN88" i="43" s="1"/>
  <c r="AN294" i="43" l="1"/>
  <c r="AN299" i="43"/>
  <c r="AN292" i="43"/>
  <c r="AN182" i="43" s="1"/>
  <c r="AE21" i="43" l="1"/>
  <c r="AD21" i="43"/>
  <c r="AI48" i="43" l="1"/>
  <c r="AN48" i="43"/>
  <c r="AD46" i="43"/>
  <c r="AE43" i="43" s="1"/>
  <c r="AE46" i="43" s="1"/>
  <c r="AD47" i="43" l="1"/>
  <c r="AD27" i="43" s="1"/>
  <c r="AD33" i="43" s="1"/>
  <c r="AE47" i="43"/>
  <c r="AF43" i="43"/>
  <c r="AF46" i="43" s="1"/>
  <c r="AE27" i="43" l="1"/>
  <c r="AE33" i="43" s="1"/>
  <c r="AF47" i="43"/>
  <c r="AF27" i="43" s="1"/>
  <c r="AG43" i="43"/>
  <c r="AG46" i="43" s="1"/>
  <c r="AD7" i="43"/>
  <c r="AD38" i="43" s="1"/>
  <c r="AD8" i="43"/>
  <c r="AD39" i="43" s="1"/>
  <c r="AD10" i="43" l="1"/>
  <c r="AD71" i="43" s="1"/>
  <c r="AD40" i="43"/>
  <c r="AG47" i="43"/>
  <c r="AG27" i="43" s="1"/>
  <c r="AH43" i="43"/>
  <c r="AH46" i="43" s="1"/>
  <c r="AF33" i="43"/>
  <c r="AD14" i="43" l="1"/>
  <c r="AD108" i="43" s="1"/>
  <c r="AD35" i="43"/>
  <c r="AH47" i="43"/>
  <c r="AH27" i="43" s="1"/>
  <c r="AI43" i="43"/>
  <c r="AI46" i="43" s="1"/>
  <c r="AG33" i="43"/>
  <c r="AD13" i="43"/>
  <c r="AD16" i="43"/>
  <c r="AD109" i="43" s="1"/>
  <c r="AD37" i="43"/>
  <c r="AD104" i="43"/>
  <c r="AD81" i="43"/>
  <c r="AD91" i="43" l="1"/>
  <c r="AD97" i="43"/>
  <c r="AD209" i="43"/>
  <c r="AD175" i="43" s="1"/>
  <c r="AD295" i="43"/>
  <c r="AD282" i="43"/>
  <c r="AD180" i="43" s="1"/>
  <c r="AD195" i="43" s="1"/>
  <c r="AI47" i="43"/>
  <c r="AI27" i="43" s="1"/>
  <c r="AJ43" i="43"/>
  <c r="AJ46" i="43" s="1"/>
  <c r="AD82" i="43"/>
  <c r="AD271" i="43" s="1"/>
  <c r="AH33" i="43"/>
  <c r="AD279" i="43" l="1"/>
  <c r="AD247" i="43"/>
  <c r="AD249" i="43" s="1"/>
  <c r="AI33" i="43"/>
  <c r="AD176" i="43"/>
  <c r="AD215" i="43"/>
  <c r="AD177" i="43"/>
  <c r="AD213" i="43" s="1"/>
  <c r="AK43" i="43"/>
  <c r="AK46" i="43" s="1"/>
  <c r="AJ47" i="43"/>
  <c r="AJ27" i="43" s="1"/>
  <c r="AD80" i="43"/>
  <c r="AD149" i="43" s="1"/>
  <c r="AE278" i="43"/>
  <c r="AD212" i="43" l="1"/>
  <c r="AD151" i="43"/>
  <c r="AJ33" i="43"/>
  <c r="AD250" i="43"/>
  <c r="AL43" i="43"/>
  <c r="AL46" i="43" s="1"/>
  <c r="AK47" i="43"/>
  <c r="AK27" i="43" s="1"/>
  <c r="AD211" i="43"/>
  <c r="AE277" i="43" l="1"/>
  <c r="AM43" i="43"/>
  <c r="AL47" i="43"/>
  <c r="AL27" i="43" s="1"/>
  <c r="AK33" i="43"/>
  <c r="C48" i="22"/>
  <c r="AD216" i="43"/>
  <c r="AD217" i="43" s="1"/>
  <c r="AM46" i="43" l="1"/>
  <c r="AM47" i="43" s="1"/>
  <c r="AM27" i="43" s="1"/>
  <c r="AP43" i="43"/>
  <c r="AF277" i="43"/>
  <c r="AL33" i="43"/>
  <c r="AN43" i="43" l="1"/>
  <c r="AN46" i="43" s="1"/>
  <c r="AN47" i="43" s="1"/>
  <c r="AN27" i="43" s="1"/>
  <c r="AG277" i="43"/>
  <c r="AM33" i="43"/>
  <c r="AS33" i="43" s="1"/>
  <c r="AH277" i="43" l="1"/>
  <c r="AN33" i="43"/>
  <c r="AI277" i="43" l="1"/>
  <c r="AJ277" i="43" l="1"/>
  <c r="AK277" i="43" l="1"/>
  <c r="AN81" i="43"/>
  <c r="AL277" i="43" l="1"/>
  <c r="AN82" i="43"/>
  <c r="AN271" i="43" s="1"/>
  <c r="AM277" i="43" l="1"/>
  <c r="AN80" i="43"/>
  <c r="AN149" i="43" s="1"/>
  <c r="AN277" i="43" l="1"/>
  <c r="AD297" i="43" l="1"/>
  <c r="AD12" i="43"/>
  <c r="AD301" i="43" l="1"/>
  <c r="AD11" i="43"/>
  <c r="AD105" i="43" s="1"/>
  <c r="AD106" i="43" s="1"/>
  <c r="AD330" i="43" s="1"/>
  <c r="AD305" i="43" l="1"/>
  <c r="AD304" i="43"/>
  <c r="AD302" i="43"/>
  <c r="AD303" i="43"/>
  <c r="AD110" i="43"/>
  <c r="AD15" i="43" l="1"/>
  <c r="AD145" i="43" s="1"/>
  <c r="C46" i="22"/>
  <c r="AD17" i="43" l="1"/>
  <c r="AD19" i="43" s="1"/>
  <c r="AD56" i="43" s="1"/>
  <c r="AD286" i="43"/>
  <c r="AD111" i="43"/>
  <c r="AD116" i="43" s="1"/>
  <c r="AB266" i="43"/>
  <c r="AC268" i="43"/>
  <c r="AC272" i="43" s="1"/>
  <c r="AB272" i="43"/>
  <c r="AB274" i="43"/>
  <c r="AB276" i="43"/>
  <c r="AB285" i="43"/>
  <c r="C43" i="22" l="1"/>
  <c r="C45" i="22" s="1"/>
  <c r="AD331" i="43"/>
  <c r="AD332" i="43"/>
  <c r="AC276" i="43"/>
  <c r="AD51" i="43"/>
  <c r="AC274" i="43"/>
  <c r="AE81" i="43" l="1"/>
  <c r="AF81" i="43"/>
  <c r="AG81" i="43"/>
  <c r="AH81" i="43"/>
  <c r="AI81" i="43"/>
  <c r="AI82" i="43" s="1"/>
  <c r="AI271" i="43" s="1"/>
  <c r="AJ81" i="43"/>
  <c r="AK81" i="43"/>
  <c r="AK82" i="43" s="1"/>
  <c r="AK80" i="43" s="1"/>
  <c r="AK149" i="43" s="1"/>
  <c r="AL81" i="43"/>
  <c r="AM81" i="43"/>
  <c r="AM82" i="43" s="1"/>
  <c r="AM271" i="43" s="1"/>
  <c r="AE82" i="43"/>
  <c r="AE80" i="43" s="1"/>
  <c r="AE149" i="43" s="1"/>
  <c r="AP156" i="43"/>
  <c r="AE271" i="43" l="1"/>
  <c r="AH82" i="43"/>
  <c r="AH271" i="43" s="1"/>
  <c r="AM80" i="43"/>
  <c r="AM149" i="43" s="1"/>
  <c r="AG82" i="43"/>
  <c r="AG271" i="43" s="1"/>
  <c r="AK271" i="43"/>
  <c r="AL82" i="43"/>
  <c r="AL271" i="43" s="1"/>
  <c r="AJ82" i="43"/>
  <c r="AJ271" i="43" s="1"/>
  <c r="AI80" i="43"/>
  <c r="AI149" i="43" s="1"/>
  <c r="AF82" i="43"/>
  <c r="AF271" i="43" s="1"/>
  <c r="AL80" i="43" l="1"/>
  <c r="AL149" i="43" s="1"/>
  <c r="AH80" i="43"/>
  <c r="AH149" i="43" s="1"/>
  <c r="AJ80" i="43"/>
  <c r="AJ149" i="43" s="1"/>
  <c r="AG80" i="43"/>
  <c r="AG149" i="43" s="1"/>
  <c r="AF80" i="43"/>
  <c r="AF149" i="43" s="1"/>
  <c r="AD98" i="43" l="1"/>
  <c r="AD99" i="43" s="1"/>
  <c r="AD155" i="43"/>
  <c r="C47" i="22" s="1"/>
  <c r="AD269" i="43" l="1"/>
  <c r="AD273" i="43" s="1"/>
  <c r="AE268" i="43" s="1"/>
  <c r="AD160" i="43"/>
  <c r="AD179" i="43" l="1"/>
  <c r="AD285" i="43"/>
  <c r="AD276" i="43"/>
  <c r="AE270" i="43"/>
  <c r="AD100" i="43" l="1"/>
  <c r="AD251" i="43"/>
  <c r="AE86" i="43"/>
  <c r="AE87" i="43"/>
  <c r="AE89" i="43" s="1"/>
  <c r="AE15" i="43" s="1"/>
  <c r="AE286" i="43" l="1"/>
  <c r="AE12" i="43"/>
  <c r="AE90" i="43"/>
  <c r="D46" i="22" s="1"/>
  <c r="AE297" i="43"/>
  <c r="AE301" i="43" l="1"/>
  <c r="AE302" i="43" s="1"/>
  <c r="AE145" i="43"/>
  <c r="AE111" i="43"/>
  <c r="AE305" i="43" l="1"/>
  <c r="AE303" i="43"/>
  <c r="AE304" i="43"/>
  <c r="AS96" i="43" l="1"/>
  <c r="B12" i="254"/>
  <c r="C12" i="254" s="1"/>
  <c r="B11" i="254" l="1"/>
  <c r="C11" i="254" s="1"/>
  <c r="C10" i="254"/>
  <c r="C9" i="254"/>
  <c r="C8" i="254"/>
  <c r="C7" i="254"/>
  <c r="I12" i="253" l="1"/>
  <c r="I14" i="253" s="1"/>
  <c r="I21" i="253"/>
  <c r="I18" i="253" l="1"/>
  <c r="I15" i="253"/>
  <c r="D12" i="253"/>
  <c r="D14" i="253" s="1"/>
  <c r="D15" i="253" s="1"/>
  <c r="D20" i="253"/>
  <c r="D21" i="253"/>
  <c r="E12" i="253"/>
  <c r="E14" i="253" s="1"/>
  <c r="F12" i="253"/>
  <c r="F14" i="253" s="1"/>
  <c r="G12" i="253"/>
  <c r="G14" i="253" s="1"/>
  <c r="H12" i="253"/>
  <c r="H14" i="253" s="1"/>
  <c r="E18" i="253"/>
  <c r="F18" i="253"/>
  <c r="G18" i="253"/>
  <c r="H18" i="253"/>
  <c r="E20" i="253"/>
  <c r="F20" i="253"/>
  <c r="G20" i="253"/>
  <c r="H20" i="253"/>
  <c r="I20" i="253"/>
  <c r="E21" i="253"/>
  <c r="F21" i="253"/>
  <c r="G21" i="253"/>
  <c r="H21" i="253"/>
  <c r="D18" i="253" l="1"/>
  <c r="H15" i="253"/>
  <c r="G15" i="253"/>
  <c r="F15" i="253"/>
  <c r="E15" i="253"/>
  <c r="D2" i="254"/>
  <c r="E2" i="254"/>
  <c r="E3" i="254"/>
  <c r="D4" i="254"/>
  <c r="E4" i="254"/>
  <c r="D5" i="254"/>
  <c r="E5" i="254"/>
  <c r="D7" i="254"/>
  <c r="E7" i="254"/>
  <c r="E8" i="254"/>
  <c r="E9" i="254"/>
  <c r="E10" i="254"/>
  <c r="D11" i="254"/>
  <c r="E11" i="254"/>
  <c r="D12" i="254"/>
  <c r="E12" i="254"/>
  <c r="K9" i="22"/>
  <c r="L9" i="22"/>
  <c r="B15" i="22"/>
  <c r="B16" i="22"/>
  <c r="I16" i="22"/>
  <c r="B17" i="22"/>
  <c r="I17" i="22"/>
  <c r="I19" i="22"/>
  <c r="B20" i="22"/>
  <c r="C20" i="22"/>
  <c r="C21" i="22"/>
  <c r="B22" i="22"/>
  <c r="C22" i="22"/>
  <c r="J23" i="22"/>
  <c r="B24" i="22"/>
  <c r="J24" i="22"/>
  <c r="B26" i="22"/>
  <c r="B29" i="22"/>
  <c r="C29" i="22"/>
  <c r="D29" i="22"/>
  <c r="E29" i="22"/>
  <c r="F29" i="22"/>
  <c r="G29" i="22"/>
  <c r="H29" i="22"/>
  <c r="I29" i="22"/>
  <c r="J29" i="22"/>
  <c r="K29" i="22"/>
  <c r="L29" i="22"/>
  <c r="D35" i="22"/>
  <c r="E35" i="22"/>
  <c r="F35" i="22"/>
  <c r="G35" i="22"/>
  <c r="H35" i="22"/>
  <c r="I35" i="22"/>
  <c r="J35" i="22"/>
  <c r="K35" i="22"/>
  <c r="L35" i="22"/>
  <c r="M35" i="22"/>
  <c r="O35" i="22"/>
  <c r="D36" i="22"/>
  <c r="E36" i="22"/>
  <c r="F36" i="22"/>
  <c r="G36" i="22"/>
  <c r="H36" i="22"/>
  <c r="I36" i="22"/>
  <c r="J36" i="22"/>
  <c r="K36" i="22"/>
  <c r="L36" i="22"/>
  <c r="M36" i="22"/>
  <c r="D37" i="22"/>
  <c r="E37" i="22"/>
  <c r="F37" i="22"/>
  <c r="G37" i="22"/>
  <c r="H37" i="22"/>
  <c r="I37" i="22"/>
  <c r="J37" i="22"/>
  <c r="K37" i="22"/>
  <c r="L37" i="22"/>
  <c r="M37" i="22"/>
  <c r="O37" i="22"/>
  <c r="D38" i="22"/>
  <c r="E38" i="22"/>
  <c r="F38" i="22"/>
  <c r="G38" i="22"/>
  <c r="H38" i="22"/>
  <c r="I38" i="22"/>
  <c r="J38" i="22"/>
  <c r="K38" i="22"/>
  <c r="L38" i="22"/>
  <c r="M38" i="22"/>
  <c r="D39" i="22"/>
  <c r="E39" i="22"/>
  <c r="F39" i="22"/>
  <c r="G39" i="22"/>
  <c r="H39" i="22"/>
  <c r="I39" i="22"/>
  <c r="J39" i="22"/>
  <c r="K39" i="22"/>
  <c r="L39" i="22"/>
  <c r="M39" i="22"/>
  <c r="C40" i="22"/>
  <c r="D40" i="22"/>
  <c r="E40" i="22"/>
  <c r="F40" i="22"/>
  <c r="G40" i="22"/>
  <c r="H40" i="22"/>
  <c r="I40" i="22"/>
  <c r="J40" i="22"/>
  <c r="K40" i="22"/>
  <c r="L40" i="22"/>
  <c r="M40" i="22"/>
  <c r="O40" i="22"/>
  <c r="C41" i="22"/>
  <c r="D41" i="22"/>
  <c r="E41" i="22"/>
  <c r="F41" i="22"/>
  <c r="G41" i="22"/>
  <c r="H41" i="22"/>
  <c r="I41" i="22"/>
  <c r="J41" i="22"/>
  <c r="K41" i="22"/>
  <c r="L41" i="22"/>
  <c r="M41" i="22"/>
  <c r="D43" i="22"/>
  <c r="E43" i="22"/>
  <c r="F43" i="22"/>
  <c r="G43" i="22"/>
  <c r="H43" i="22"/>
  <c r="I43" i="22"/>
  <c r="J43" i="22"/>
  <c r="K43" i="22"/>
  <c r="L43" i="22"/>
  <c r="M43" i="22"/>
  <c r="E44" i="22"/>
  <c r="F44" i="22"/>
  <c r="G44" i="22"/>
  <c r="H44" i="22"/>
  <c r="I44" i="22"/>
  <c r="J44" i="22"/>
  <c r="K44" i="22"/>
  <c r="L44" i="22"/>
  <c r="M44" i="22"/>
  <c r="D45" i="22"/>
  <c r="E45" i="22"/>
  <c r="F45" i="22"/>
  <c r="G45" i="22"/>
  <c r="H45" i="22"/>
  <c r="I45" i="22"/>
  <c r="J45" i="22"/>
  <c r="K45" i="22"/>
  <c r="L45" i="22"/>
  <c r="M45" i="22"/>
  <c r="E46" i="22"/>
  <c r="F46" i="22"/>
  <c r="G46" i="22"/>
  <c r="H46" i="22"/>
  <c r="I46" i="22"/>
  <c r="J46" i="22"/>
  <c r="K46" i="22"/>
  <c r="L46" i="22"/>
  <c r="M46" i="22"/>
  <c r="D47" i="22"/>
  <c r="E47" i="22"/>
  <c r="F47" i="22"/>
  <c r="G47" i="22"/>
  <c r="H47" i="22"/>
  <c r="I47" i="22"/>
  <c r="J47" i="22"/>
  <c r="K47" i="22"/>
  <c r="L47" i="22"/>
  <c r="M47" i="22"/>
  <c r="D48" i="22"/>
  <c r="E48" i="22"/>
  <c r="F48" i="22"/>
  <c r="G48" i="22"/>
  <c r="H48" i="22"/>
  <c r="I48" i="22"/>
  <c r="J48" i="22"/>
  <c r="K48" i="22"/>
  <c r="L48" i="22"/>
  <c r="M48" i="22"/>
  <c r="C49" i="22"/>
  <c r="D49" i="22"/>
  <c r="E49" i="22"/>
  <c r="F49" i="22"/>
  <c r="G49" i="22"/>
  <c r="H49" i="22"/>
  <c r="I49" i="22"/>
  <c r="J49" i="22"/>
  <c r="K49" i="22"/>
  <c r="L49" i="22"/>
  <c r="M49" i="22"/>
  <c r="C50" i="22"/>
  <c r="D50" i="22"/>
  <c r="E50" i="22"/>
  <c r="F50" i="22"/>
  <c r="G50" i="22"/>
  <c r="H50" i="22"/>
  <c r="I50" i="22"/>
  <c r="J50" i="22"/>
  <c r="K50" i="22"/>
  <c r="L50" i="22"/>
  <c r="M50" i="22"/>
  <c r="D51" i="22"/>
  <c r="E51" i="22"/>
  <c r="F51" i="22"/>
  <c r="G51" i="22"/>
  <c r="H51" i="22"/>
  <c r="I51" i="22"/>
  <c r="J51" i="22"/>
  <c r="K51" i="22"/>
  <c r="L51" i="22"/>
  <c r="M51" i="22"/>
  <c r="C53" i="22"/>
  <c r="D53" i="22"/>
  <c r="E53" i="22"/>
  <c r="F53" i="22"/>
  <c r="G53" i="22"/>
  <c r="H53" i="22"/>
  <c r="I53" i="22"/>
  <c r="J53" i="22"/>
  <c r="K53" i="22"/>
  <c r="L53" i="22"/>
  <c r="C54" i="22"/>
  <c r="D54" i="22"/>
  <c r="E54" i="22"/>
  <c r="F54" i="22"/>
  <c r="G54" i="22"/>
  <c r="H54" i="22"/>
  <c r="I54" i="22"/>
  <c r="J54" i="22"/>
  <c r="K54" i="22"/>
  <c r="L54" i="22"/>
  <c r="C55" i="22"/>
  <c r="D55" i="22"/>
  <c r="E55" i="22"/>
  <c r="F55" i="22"/>
  <c r="G55" i="22"/>
  <c r="H55" i="22"/>
  <c r="I55" i="22"/>
  <c r="J55" i="22"/>
  <c r="K55" i="22"/>
  <c r="L55" i="22"/>
  <c r="B57" i="22"/>
  <c r="K57" i="22"/>
  <c r="B58" i="22"/>
  <c r="K58" i="22"/>
  <c r="B61" i="22"/>
  <c r="K61" i="22"/>
  <c r="B62" i="22"/>
  <c r="K62" i="22"/>
  <c r="B63" i="22"/>
  <c r="K63" i="22"/>
  <c r="B64" i="22"/>
  <c r="K64" i="22"/>
  <c r="B65" i="22"/>
  <c r="K65" i="22"/>
  <c r="B66" i="22"/>
  <c r="K66" i="22"/>
  <c r="E1" i="43"/>
  <c r="AE7" i="43"/>
  <c r="AF7" i="43"/>
  <c r="AG7" i="43"/>
  <c r="AH7" i="43"/>
  <c r="AI7" i="43"/>
  <c r="AJ7" i="43"/>
  <c r="AK7" i="43"/>
  <c r="AL7" i="43"/>
  <c r="AM7" i="43"/>
  <c r="AN7" i="43"/>
  <c r="AP7" i="43"/>
  <c r="AE8" i="43"/>
  <c r="AF8" i="43"/>
  <c r="AG8" i="43"/>
  <c r="AH8" i="43"/>
  <c r="AI8" i="43"/>
  <c r="AJ8" i="43"/>
  <c r="AK8" i="43"/>
  <c r="AL8" i="43"/>
  <c r="AM8" i="43"/>
  <c r="AN8" i="43"/>
  <c r="AP8" i="43"/>
  <c r="AE10" i="43"/>
  <c r="AF10" i="43"/>
  <c r="AG10" i="43"/>
  <c r="AH10" i="43"/>
  <c r="AI10" i="43"/>
  <c r="AJ10" i="43"/>
  <c r="AK10" i="43"/>
  <c r="AL10" i="43"/>
  <c r="AM10" i="43"/>
  <c r="AN10" i="43"/>
  <c r="AP10" i="43"/>
  <c r="AE11" i="43"/>
  <c r="AF11" i="43"/>
  <c r="AG11" i="43"/>
  <c r="AH11" i="43"/>
  <c r="AI11" i="43"/>
  <c r="AJ11" i="43"/>
  <c r="AK11" i="43"/>
  <c r="AL11" i="43"/>
  <c r="AM11" i="43"/>
  <c r="AN11" i="43"/>
  <c r="AF12" i="43"/>
  <c r="AG12" i="43"/>
  <c r="AH12" i="43"/>
  <c r="AI12" i="43"/>
  <c r="AJ12" i="43"/>
  <c r="AK12" i="43"/>
  <c r="AL12" i="43"/>
  <c r="AM12" i="43"/>
  <c r="AN12" i="43"/>
  <c r="AE13" i="43"/>
  <c r="AF13" i="43"/>
  <c r="AG13" i="43"/>
  <c r="AH13" i="43"/>
  <c r="AI13" i="43"/>
  <c r="AJ13" i="43"/>
  <c r="AK13" i="43"/>
  <c r="AL13" i="43"/>
  <c r="AM13" i="43"/>
  <c r="AN13" i="43"/>
  <c r="AP13" i="43"/>
  <c r="AE14" i="43"/>
  <c r="AF14" i="43"/>
  <c r="AG14" i="43"/>
  <c r="AH14" i="43"/>
  <c r="AI14" i="43"/>
  <c r="AJ14" i="43"/>
  <c r="AK14" i="43"/>
  <c r="AL14" i="43"/>
  <c r="AM14" i="43"/>
  <c r="AN14" i="43"/>
  <c r="AP14" i="43"/>
  <c r="AF15" i="43"/>
  <c r="AG15" i="43"/>
  <c r="AH15" i="43"/>
  <c r="AI15" i="43"/>
  <c r="AJ15" i="43"/>
  <c r="AK15" i="43"/>
  <c r="AL15" i="43"/>
  <c r="AM15" i="43"/>
  <c r="AN15" i="43"/>
  <c r="AE16" i="43"/>
  <c r="AF16" i="43"/>
  <c r="AG16" i="43"/>
  <c r="AH16" i="43"/>
  <c r="AI16" i="43"/>
  <c r="AJ16" i="43"/>
  <c r="AK16" i="43"/>
  <c r="AL16" i="43"/>
  <c r="AM16" i="43"/>
  <c r="AN16" i="43"/>
  <c r="AE17" i="43"/>
  <c r="AF17" i="43"/>
  <c r="AG17" i="43"/>
  <c r="AH17" i="43"/>
  <c r="AI17" i="43"/>
  <c r="AJ17" i="43"/>
  <c r="AK17" i="43"/>
  <c r="AL17" i="43"/>
  <c r="AM17" i="43"/>
  <c r="AN17" i="43"/>
  <c r="AP17" i="43"/>
  <c r="AE19" i="43"/>
  <c r="AF19" i="43"/>
  <c r="AG19" i="43"/>
  <c r="AH19" i="43"/>
  <c r="AI19" i="43"/>
  <c r="AJ19" i="43"/>
  <c r="AK19" i="43"/>
  <c r="AL19" i="43"/>
  <c r="AM19" i="43"/>
  <c r="AN19" i="43"/>
  <c r="AD20" i="43"/>
  <c r="AE20" i="43"/>
  <c r="AF20" i="43"/>
  <c r="AG20" i="43"/>
  <c r="AH20" i="43"/>
  <c r="AI20" i="43"/>
  <c r="AJ20" i="43"/>
  <c r="AK20" i="43"/>
  <c r="AL20" i="43"/>
  <c r="AM20" i="43"/>
  <c r="AN20" i="43"/>
  <c r="AD22" i="43"/>
  <c r="AE22" i="43"/>
  <c r="AF22" i="43"/>
  <c r="AG22" i="43"/>
  <c r="AH22" i="43"/>
  <c r="AI22" i="43"/>
  <c r="AJ22" i="43"/>
  <c r="AK22" i="43"/>
  <c r="AL22" i="43"/>
  <c r="AM22" i="43"/>
  <c r="AN22" i="43"/>
  <c r="AD23" i="43"/>
  <c r="AE23" i="43"/>
  <c r="AF23" i="43"/>
  <c r="AG23" i="43"/>
  <c r="AH23" i="43"/>
  <c r="AI23" i="43"/>
  <c r="AJ23" i="43"/>
  <c r="AK23" i="43"/>
  <c r="AL23" i="43"/>
  <c r="AM23" i="43"/>
  <c r="AN23" i="43"/>
  <c r="AD24" i="43"/>
  <c r="AE24" i="43"/>
  <c r="AF24" i="43"/>
  <c r="AG24" i="43"/>
  <c r="AH24" i="43"/>
  <c r="AI24" i="43"/>
  <c r="AJ24" i="43"/>
  <c r="AK24" i="43"/>
  <c r="AL24" i="43"/>
  <c r="AM24" i="43"/>
  <c r="AN24" i="43"/>
  <c r="AD25" i="43"/>
  <c r="AE25" i="43"/>
  <c r="AF25" i="43"/>
  <c r="AG25" i="43"/>
  <c r="AH25" i="43"/>
  <c r="AI25" i="43"/>
  <c r="AJ25" i="43"/>
  <c r="AK25" i="43"/>
  <c r="AL25" i="43"/>
  <c r="AM25" i="43"/>
  <c r="AN25" i="43"/>
  <c r="AP25" i="43"/>
  <c r="AE35" i="43"/>
  <c r="AF35" i="43"/>
  <c r="AG35" i="43"/>
  <c r="AH35" i="43"/>
  <c r="AI35" i="43"/>
  <c r="AJ35" i="43"/>
  <c r="AK35" i="43"/>
  <c r="AL35" i="43"/>
  <c r="AM35" i="43"/>
  <c r="AN35" i="43"/>
  <c r="AS35" i="43"/>
  <c r="AE37" i="43"/>
  <c r="AF37" i="43"/>
  <c r="AG37" i="43"/>
  <c r="AH37" i="43"/>
  <c r="AI37" i="43"/>
  <c r="AJ37" i="43"/>
  <c r="AK37" i="43"/>
  <c r="AL37" i="43"/>
  <c r="AM37" i="43"/>
  <c r="AN37" i="43"/>
  <c r="AE38" i="43"/>
  <c r="AF38" i="43"/>
  <c r="AG38" i="43"/>
  <c r="AH38" i="43"/>
  <c r="AI38" i="43"/>
  <c r="AJ38" i="43"/>
  <c r="AK38" i="43"/>
  <c r="AL38" i="43"/>
  <c r="AM38" i="43"/>
  <c r="AN38" i="43"/>
  <c r="AE39" i="43"/>
  <c r="AF39" i="43"/>
  <c r="AG39" i="43"/>
  <c r="AH39" i="43"/>
  <c r="AI39" i="43"/>
  <c r="AJ39" i="43"/>
  <c r="AK39" i="43"/>
  <c r="AL39" i="43"/>
  <c r="AM39" i="43"/>
  <c r="AN39" i="43"/>
  <c r="AE40" i="43"/>
  <c r="AF40" i="43"/>
  <c r="AG40" i="43"/>
  <c r="AH40" i="43"/>
  <c r="AI40" i="43"/>
  <c r="AJ40" i="43"/>
  <c r="AK40" i="43"/>
  <c r="AL40" i="43"/>
  <c r="AM40" i="43"/>
  <c r="AN40" i="43"/>
  <c r="AE41" i="43"/>
  <c r="AF41" i="43"/>
  <c r="AG41" i="43"/>
  <c r="AH41" i="43"/>
  <c r="AI41" i="43"/>
  <c r="AJ41" i="43"/>
  <c r="AK41" i="43"/>
  <c r="AL41" i="43"/>
  <c r="AM41" i="43"/>
  <c r="AE50" i="43"/>
  <c r="AF50" i="43"/>
  <c r="AG50" i="43"/>
  <c r="AH50" i="43"/>
  <c r="AI50" i="43"/>
  <c r="AJ50" i="43"/>
  <c r="AK50" i="43"/>
  <c r="AL50" i="43"/>
  <c r="AM50" i="43"/>
  <c r="AN50" i="43"/>
  <c r="AS50" i="43"/>
  <c r="AE51" i="43"/>
  <c r="AF51" i="43"/>
  <c r="AG51" i="43"/>
  <c r="AH51" i="43"/>
  <c r="AI51" i="43"/>
  <c r="AJ51" i="43"/>
  <c r="AK51" i="43"/>
  <c r="AL51" i="43"/>
  <c r="AM51" i="43"/>
  <c r="AN51" i="43"/>
  <c r="AS51" i="43"/>
  <c r="AD54" i="43"/>
  <c r="AE54" i="43"/>
  <c r="AF54" i="43"/>
  <c r="AG54" i="43"/>
  <c r="AH54" i="43"/>
  <c r="AI54" i="43"/>
  <c r="AJ54" i="43"/>
  <c r="AK54" i="43"/>
  <c r="AL54" i="43"/>
  <c r="AM54" i="43"/>
  <c r="AN54" i="43"/>
  <c r="AS54" i="43"/>
  <c r="AD55" i="43"/>
  <c r="AE55" i="43"/>
  <c r="AF55" i="43"/>
  <c r="AG55" i="43"/>
  <c r="AH55" i="43"/>
  <c r="AI55" i="43"/>
  <c r="AJ55" i="43"/>
  <c r="AK55" i="43"/>
  <c r="AL55" i="43"/>
  <c r="AM55" i="43"/>
  <c r="AN55" i="43"/>
  <c r="AS55" i="43"/>
  <c r="AE56" i="43"/>
  <c r="AF56" i="43"/>
  <c r="AG56" i="43"/>
  <c r="AH56" i="43"/>
  <c r="AI56" i="43"/>
  <c r="AJ56" i="43"/>
  <c r="AK56" i="43"/>
  <c r="AL56" i="43"/>
  <c r="AM56" i="43"/>
  <c r="AN56" i="43"/>
  <c r="AS56" i="43"/>
  <c r="AD57" i="43"/>
  <c r="AE57" i="43"/>
  <c r="AF57" i="43"/>
  <c r="AG57" i="43"/>
  <c r="AH57" i="43"/>
  <c r="AI57" i="43"/>
  <c r="AJ57" i="43"/>
  <c r="AK57" i="43"/>
  <c r="AL57" i="43"/>
  <c r="AM57" i="43"/>
  <c r="AN57" i="43"/>
  <c r="AS57" i="43"/>
  <c r="AD58" i="43"/>
  <c r="AE58" i="43"/>
  <c r="AF58" i="43"/>
  <c r="AG58" i="43"/>
  <c r="AH58" i="43"/>
  <c r="AI58" i="43"/>
  <c r="AJ58" i="43"/>
  <c r="AK58" i="43"/>
  <c r="AL58" i="43"/>
  <c r="AM58" i="43"/>
  <c r="AN58" i="43"/>
  <c r="AS58" i="43"/>
  <c r="AD59" i="43"/>
  <c r="AE59" i="43"/>
  <c r="AF59" i="43"/>
  <c r="AG59" i="43"/>
  <c r="AH59" i="43"/>
  <c r="AI59" i="43"/>
  <c r="AJ59" i="43"/>
  <c r="AK59" i="43"/>
  <c r="AL59" i="43"/>
  <c r="AM59" i="43"/>
  <c r="AN59" i="43"/>
  <c r="AS59" i="43"/>
  <c r="AE62" i="43"/>
  <c r="AF62" i="43"/>
  <c r="AG62" i="43"/>
  <c r="AH62" i="43"/>
  <c r="AI62" i="43"/>
  <c r="AJ62" i="43"/>
  <c r="AK62" i="43"/>
  <c r="AL62" i="43"/>
  <c r="AM62" i="43"/>
  <c r="AN62" i="43"/>
  <c r="AE63" i="43"/>
  <c r="AF63" i="43"/>
  <c r="AG63" i="43"/>
  <c r="AH63" i="43"/>
  <c r="AI63" i="43"/>
  <c r="AJ63" i="43"/>
  <c r="AK63" i="43"/>
  <c r="AL63" i="43"/>
  <c r="AM63" i="43"/>
  <c r="AN63" i="43"/>
  <c r="AE68" i="43"/>
  <c r="AF68" i="43"/>
  <c r="AG68" i="43"/>
  <c r="AH68" i="43"/>
  <c r="AI68" i="43"/>
  <c r="AJ68" i="43"/>
  <c r="AK68" i="43"/>
  <c r="AL68" i="43"/>
  <c r="AM68" i="43"/>
  <c r="AN68" i="43"/>
  <c r="AF86" i="43"/>
  <c r="AG86" i="43"/>
  <c r="AH86" i="43"/>
  <c r="AI86" i="43"/>
  <c r="AJ86" i="43"/>
  <c r="AK86" i="43"/>
  <c r="AL86" i="43"/>
  <c r="AM86" i="43"/>
  <c r="AN86" i="43"/>
  <c r="AF87" i="43"/>
  <c r="AG87" i="43"/>
  <c r="AH87" i="43"/>
  <c r="AI87" i="43"/>
  <c r="AJ87" i="43"/>
  <c r="AK87" i="43"/>
  <c r="AL87" i="43"/>
  <c r="AM87" i="43"/>
  <c r="AN87" i="43"/>
  <c r="AF89" i="43"/>
  <c r="AG89" i="43"/>
  <c r="AH89" i="43"/>
  <c r="AI89" i="43"/>
  <c r="AJ89" i="43"/>
  <c r="AK89" i="43"/>
  <c r="AL89" i="43"/>
  <c r="AM89" i="43"/>
  <c r="AN89" i="43"/>
  <c r="AF90" i="43"/>
  <c r="AG90" i="43"/>
  <c r="AH90" i="43"/>
  <c r="AI90" i="43"/>
  <c r="AJ90" i="43"/>
  <c r="AK90" i="43"/>
  <c r="AL90" i="43"/>
  <c r="AM90" i="43"/>
  <c r="AN90" i="43"/>
  <c r="AE91" i="43"/>
  <c r="AF91" i="43"/>
  <c r="AG91" i="43"/>
  <c r="AH91" i="43"/>
  <c r="AI91" i="43"/>
  <c r="AJ91" i="43"/>
  <c r="AK91" i="43"/>
  <c r="AL91" i="43"/>
  <c r="AM91" i="43"/>
  <c r="AN91" i="43"/>
  <c r="AE97" i="43"/>
  <c r="AF97" i="43"/>
  <c r="AG97" i="43"/>
  <c r="AH97" i="43"/>
  <c r="AI97" i="43"/>
  <c r="AJ97" i="43"/>
  <c r="AK97" i="43"/>
  <c r="AL97" i="43"/>
  <c r="AM97" i="43"/>
  <c r="AN97" i="43"/>
  <c r="AS97" i="43"/>
  <c r="AE98" i="43"/>
  <c r="AF98" i="43"/>
  <c r="AG98" i="43"/>
  <c r="AH98" i="43"/>
  <c r="AI98" i="43"/>
  <c r="AJ98" i="43"/>
  <c r="AK98" i="43"/>
  <c r="AL98" i="43"/>
  <c r="AM98" i="43"/>
  <c r="AN98" i="43"/>
  <c r="AS98" i="43"/>
  <c r="AE99" i="43"/>
  <c r="AF99" i="43"/>
  <c r="AG99" i="43"/>
  <c r="AH99" i="43"/>
  <c r="AI99" i="43"/>
  <c r="AJ99" i="43"/>
  <c r="AK99" i="43"/>
  <c r="AL99" i="43"/>
  <c r="AM99" i="43"/>
  <c r="AN99" i="43"/>
  <c r="AS99" i="43"/>
  <c r="AE100" i="43"/>
  <c r="AF100" i="43"/>
  <c r="AG100" i="43"/>
  <c r="AH100" i="43"/>
  <c r="AI100" i="43"/>
  <c r="AJ100" i="43"/>
  <c r="AK100" i="43"/>
  <c r="AL100" i="43"/>
  <c r="AM100" i="43"/>
  <c r="AN100" i="43"/>
  <c r="AS100" i="43"/>
  <c r="AE104" i="43"/>
  <c r="AF104" i="43"/>
  <c r="AG104" i="43"/>
  <c r="AH104" i="43"/>
  <c r="AI104" i="43"/>
  <c r="AJ104" i="43"/>
  <c r="AK104" i="43"/>
  <c r="AL104" i="43"/>
  <c r="AM104" i="43"/>
  <c r="AN104" i="43"/>
  <c r="AP104" i="43"/>
  <c r="AE105" i="43"/>
  <c r="AF105" i="43"/>
  <c r="AG105" i="43"/>
  <c r="AH105" i="43"/>
  <c r="AI105" i="43"/>
  <c r="AJ105" i="43"/>
  <c r="AK105" i="43"/>
  <c r="AL105" i="43"/>
  <c r="AM105" i="43"/>
  <c r="AN105" i="43"/>
  <c r="AE106" i="43"/>
  <c r="AF106" i="43"/>
  <c r="AG106" i="43"/>
  <c r="AH106" i="43"/>
  <c r="AI106" i="43"/>
  <c r="AJ106" i="43"/>
  <c r="AK106" i="43"/>
  <c r="AL106" i="43"/>
  <c r="AM106" i="43"/>
  <c r="AN106" i="43"/>
  <c r="AP106" i="43"/>
  <c r="AE108" i="43"/>
  <c r="AF108" i="43"/>
  <c r="AG108" i="43"/>
  <c r="AH108" i="43"/>
  <c r="AI108" i="43"/>
  <c r="AJ108" i="43"/>
  <c r="AK108" i="43"/>
  <c r="AL108" i="43"/>
  <c r="AM108" i="43"/>
  <c r="AN108" i="43"/>
  <c r="AE109" i="43"/>
  <c r="AF109" i="43"/>
  <c r="AG109" i="43"/>
  <c r="AH109" i="43"/>
  <c r="AI109" i="43"/>
  <c r="AJ109" i="43"/>
  <c r="AK109" i="43"/>
  <c r="AL109" i="43"/>
  <c r="AM109" i="43"/>
  <c r="AN109" i="43"/>
  <c r="AE110" i="43"/>
  <c r="AF110" i="43"/>
  <c r="AG110" i="43"/>
  <c r="AH110" i="43"/>
  <c r="AI110" i="43"/>
  <c r="AJ110" i="43"/>
  <c r="AK110" i="43"/>
  <c r="AL110" i="43"/>
  <c r="AM110" i="43"/>
  <c r="AN110" i="43"/>
  <c r="AP110" i="43"/>
  <c r="AF111" i="43"/>
  <c r="AG111" i="43"/>
  <c r="AH111" i="43"/>
  <c r="AI111" i="43"/>
  <c r="AJ111" i="43"/>
  <c r="AK111" i="43"/>
  <c r="AL111" i="43"/>
  <c r="AM111" i="43"/>
  <c r="AN111" i="43"/>
  <c r="AE116" i="43"/>
  <c r="AF116" i="43"/>
  <c r="AG116" i="43"/>
  <c r="AH116" i="43"/>
  <c r="AI116" i="43"/>
  <c r="AJ116" i="43"/>
  <c r="AK116" i="43"/>
  <c r="AL116" i="43"/>
  <c r="AM116" i="43"/>
  <c r="AN116" i="43"/>
  <c r="AP116" i="43"/>
  <c r="AD118" i="43"/>
  <c r="AE118" i="43"/>
  <c r="AF118" i="43"/>
  <c r="AG118" i="43"/>
  <c r="AH118" i="43"/>
  <c r="AI118" i="43"/>
  <c r="AJ118" i="43"/>
  <c r="AK118" i="43"/>
  <c r="AL118" i="43"/>
  <c r="AM118" i="43"/>
  <c r="AN118" i="43"/>
  <c r="AD119" i="43"/>
  <c r="AE119" i="43"/>
  <c r="AF119" i="43"/>
  <c r="AG119" i="43"/>
  <c r="AH119" i="43"/>
  <c r="AI119" i="43"/>
  <c r="AJ119" i="43"/>
  <c r="AK119" i="43"/>
  <c r="AL119" i="43"/>
  <c r="AM119" i="43"/>
  <c r="AN119" i="43"/>
  <c r="AD120" i="43"/>
  <c r="AE120" i="43"/>
  <c r="AF120" i="43"/>
  <c r="AG120" i="43"/>
  <c r="AH120" i="43"/>
  <c r="AI120" i="43"/>
  <c r="AJ120" i="43"/>
  <c r="AK120" i="43"/>
  <c r="AL120" i="43"/>
  <c r="AM120" i="43"/>
  <c r="AN120" i="43"/>
  <c r="AD121" i="43"/>
  <c r="AE121" i="43"/>
  <c r="AF121" i="43"/>
  <c r="AG121" i="43"/>
  <c r="AH121" i="43"/>
  <c r="AI121" i="43"/>
  <c r="AJ121" i="43"/>
  <c r="AK121" i="43"/>
  <c r="AL121" i="43"/>
  <c r="AM121" i="43"/>
  <c r="AN121" i="43"/>
  <c r="AF122" i="43"/>
  <c r="AG122" i="43"/>
  <c r="AH122" i="43"/>
  <c r="AI122" i="43"/>
  <c r="AJ122" i="43"/>
  <c r="AK122" i="43"/>
  <c r="AL122" i="43"/>
  <c r="AM122" i="43"/>
  <c r="AN122" i="43"/>
  <c r="AD124" i="43"/>
  <c r="AE124" i="43"/>
  <c r="AF124" i="43"/>
  <c r="AG124" i="43"/>
  <c r="AH124" i="43"/>
  <c r="AI124" i="43"/>
  <c r="AJ124" i="43"/>
  <c r="AK124" i="43"/>
  <c r="AL124" i="43"/>
  <c r="AM124" i="43"/>
  <c r="AN124" i="43"/>
  <c r="AD128" i="43"/>
  <c r="AE128" i="43"/>
  <c r="AF128" i="43"/>
  <c r="AG128" i="43"/>
  <c r="AH128" i="43"/>
  <c r="AI128" i="43"/>
  <c r="AJ128" i="43"/>
  <c r="AK128" i="43"/>
  <c r="AL128" i="43"/>
  <c r="AM128" i="43"/>
  <c r="AN128" i="43"/>
  <c r="AP128" i="43"/>
  <c r="AD130" i="43"/>
  <c r="AE130" i="43"/>
  <c r="AF130" i="43"/>
  <c r="AG130" i="43"/>
  <c r="AH130" i="43"/>
  <c r="AI130" i="43"/>
  <c r="AJ130" i="43"/>
  <c r="AK130" i="43"/>
  <c r="AL130" i="43"/>
  <c r="AM130" i="43"/>
  <c r="AN130" i="43"/>
  <c r="AP130" i="43"/>
  <c r="AD131" i="43"/>
  <c r="AE131" i="43"/>
  <c r="AF131" i="43"/>
  <c r="AG131" i="43"/>
  <c r="AH131" i="43"/>
  <c r="AI131" i="43"/>
  <c r="AJ131" i="43"/>
  <c r="AK131" i="43"/>
  <c r="AL131" i="43"/>
  <c r="AM131" i="43"/>
  <c r="AN131" i="43"/>
  <c r="AD134" i="43"/>
  <c r="AE134" i="43"/>
  <c r="AF134" i="43"/>
  <c r="AG134" i="43"/>
  <c r="AH134" i="43"/>
  <c r="AI134" i="43"/>
  <c r="AJ134" i="43"/>
  <c r="AK134" i="43"/>
  <c r="AL134" i="43"/>
  <c r="AM134" i="43"/>
  <c r="AN134" i="43"/>
  <c r="AD135" i="43"/>
  <c r="AE135" i="43"/>
  <c r="AF135" i="43"/>
  <c r="AG135" i="43"/>
  <c r="AH135" i="43"/>
  <c r="AI135" i="43"/>
  <c r="AJ135" i="43"/>
  <c r="AK135" i="43"/>
  <c r="AL135" i="43"/>
  <c r="AM135" i="43"/>
  <c r="AN135" i="43"/>
  <c r="AP135" i="43"/>
  <c r="AD136" i="43"/>
  <c r="AE136" i="43"/>
  <c r="AF136" i="43"/>
  <c r="AG136" i="43"/>
  <c r="AH136" i="43"/>
  <c r="AI136" i="43"/>
  <c r="AJ136" i="43"/>
  <c r="AK136" i="43"/>
  <c r="AL136" i="43"/>
  <c r="AM136" i="43"/>
  <c r="AN136" i="43"/>
  <c r="AD144" i="43"/>
  <c r="AE144" i="43"/>
  <c r="AF144" i="43"/>
  <c r="AG144" i="43"/>
  <c r="AH144" i="43"/>
  <c r="AI144" i="43"/>
  <c r="AJ144" i="43"/>
  <c r="AK144" i="43"/>
  <c r="AL144" i="43"/>
  <c r="AM144" i="43"/>
  <c r="AN144" i="43"/>
  <c r="AF145" i="43"/>
  <c r="AG145" i="43"/>
  <c r="AH145" i="43"/>
  <c r="AI145" i="43"/>
  <c r="AJ145" i="43"/>
  <c r="AK145" i="43"/>
  <c r="AL145" i="43"/>
  <c r="AM145" i="43"/>
  <c r="AN145" i="43"/>
  <c r="AD147" i="43"/>
  <c r="AE147" i="43"/>
  <c r="AF147" i="43"/>
  <c r="AG147" i="43"/>
  <c r="AH147" i="43"/>
  <c r="AI147" i="43"/>
  <c r="AJ147" i="43"/>
  <c r="AK147" i="43"/>
  <c r="AL147" i="43"/>
  <c r="AM147" i="43"/>
  <c r="AN147" i="43"/>
  <c r="AD150" i="43"/>
  <c r="AE150" i="43"/>
  <c r="AF150" i="43"/>
  <c r="AG150" i="43"/>
  <c r="AH150" i="43"/>
  <c r="AI150" i="43"/>
  <c r="AJ150" i="43"/>
  <c r="AK150" i="43"/>
  <c r="AL150" i="43"/>
  <c r="AM150" i="43"/>
  <c r="AN150" i="43"/>
  <c r="AP150" i="43"/>
  <c r="AE151" i="43"/>
  <c r="AF151" i="43"/>
  <c r="AG151" i="43"/>
  <c r="AH151" i="43"/>
  <c r="AI151" i="43"/>
  <c r="AJ151" i="43"/>
  <c r="AK151" i="43"/>
  <c r="AL151" i="43"/>
  <c r="AM151" i="43"/>
  <c r="AN151" i="43"/>
  <c r="AD152" i="43"/>
  <c r="AE152" i="43"/>
  <c r="AF152" i="43"/>
  <c r="AG152" i="43"/>
  <c r="AH152" i="43"/>
  <c r="AI152" i="43"/>
  <c r="AJ152" i="43"/>
  <c r="AK152" i="43"/>
  <c r="AL152" i="43"/>
  <c r="AM152" i="43"/>
  <c r="AN152" i="43"/>
  <c r="AP152" i="43"/>
  <c r="AD153" i="43"/>
  <c r="AE153" i="43"/>
  <c r="AF153" i="43"/>
  <c r="AG153" i="43"/>
  <c r="AH153" i="43"/>
  <c r="AI153" i="43"/>
  <c r="AJ153" i="43"/>
  <c r="AK153" i="43"/>
  <c r="AL153" i="43"/>
  <c r="AM153" i="43"/>
  <c r="AN153" i="43"/>
  <c r="AE155" i="43"/>
  <c r="AF155" i="43"/>
  <c r="AG155" i="43"/>
  <c r="AH155" i="43"/>
  <c r="AI155" i="43"/>
  <c r="AJ155" i="43"/>
  <c r="AK155" i="43"/>
  <c r="AL155" i="43"/>
  <c r="AM155" i="43"/>
  <c r="AN155" i="43"/>
  <c r="AP155" i="43"/>
  <c r="AE160" i="43"/>
  <c r="AF160" i="43"/>
  <c r="AG160" i="43"/>
  <c r="AH160" i="43"/>
  <c r="AI160" i="43"/>
  <c r="AJ160" i="43"/>
  <c r="AK160" i="43"/>
  <c r="AL160" i="43"/>
  <c r="AM160" i="43"/>
  <c r="AN160" i="43"/>
  <c r="AD162" i="43"/>
  <c r="AE162" i="43"/>
  <c r="AF162" i="43"/>
  <c r="AG162" i="43"/>
  <c r="AH162" i="43"/>
  <c r="AI162" i="43"/>
  <c r="AJ162" i="43"/>
  <c r="AK162" i="43"/>
  <c r="AL162" i="43"/>
  <c r="AM162" i="43"/>
  <c r="AN162" i="43"/>
  <c r="AD167" i="43"/>
  <c r="AE167" i="43"/>
  <c r="AF167" i="43"/>
  <c r="AG167" i="43"/>
  <c r="AH167" i="43"/>
  <c r="AI167" i="43"/>
  <c r="AJ167" i="43"/>
  <c r="AK167" i="43"/>
  <c r="AL167" i="43"/>
  <c r="AM167" i="43"/>
  <c r="AN167" i="43"/>
  <c r="AD170" i="43"/>
  <c r="AE170" i="43"/>
  <c r="AF170" i="43"/>
  <c r="AG170" i="43"/>
  <c r="AH170" i="43"/>
  <c r="AI170" i="43"/>
  <c r="AJ170" i="43"/>
  <c r="AK170" i="43"/>
  <c r="AL170" i="43"/>
  <c r="AM170" i="43"/>
  <c r="AN170" i="43"/>
  <c r="AD174" i="43"/>
  <c r="AE174" i="43"/>
  <c r="AF174" i="43"/>
  <c r="AG174" i="43"/>
  <c r="AH174" i="43"/>
  <c r="AI174" i="43"/>
  <c r="AJ174" i="43"/>
  <c r="AK174" i="43"/>
  <c r="AL174" i="43"/>
  <c r="AM174" i="43"/>
  <c r="AN174" i="43"/>
  <c r="AE175" i="43"/>
  <c r="AF175" i="43"/>
  <c r="AG175" i="43"/>
  <c r="AH175" i="43"/>
  <c r="AI175" i="43"/>
  <c r="AJ175" i="43"/>
  <c r="AK175" i="43"/>
  <c r="AL175" i="43"/>
  <c r="AM175" i="43"/>
  <c r="AN175" i="43"/>
  <c r="AE176" i="43"/>
  <c r="AF176" i="43"/>
  <c r="AG176" i="43"/>
  <c r="AH176" i="43"/>
  <c r="AI176" i="43"/>
  <c r="AJ176" i="43"/>
  <c r="AK176" i="43"/>
  <c r="AL176" i="43"/>
  <c r="AM176" i="43"/>
  <c r="AN176" i="43"/>
  <c r="AE177" i="43"/>
  <c r="AF177" i="43"/>
  <c r="AG177" i="43"/>
  <c r="AH177" i="43"/>
  <c r="AI177" i="43"/>
  <c r="AJ177" i="43"/>
  <c r="AK177" i="43"/>
  <c r="AL177" i="43"/>
  <c r="AM177" i="43"/>
  <c r="AN177" i="43"/>
  <c r="AD178" i="43"/>
  <c r="AE178" i="43"/>
  <c r="AF178" i="43"/>
  <c r="AG178" i="43"/>
  <c r="AH178" i="43"/>
  <c r="AI178" i="43"/>
  <c r="AJ178" i="43"/>
  <c r="AK178" i="43"/>
  <c r="AL178" i="43"/>
  <c r="AM178" i="43"/>
  <c r="AN178" i="43"/>
  <c r="AE179" i="43"/>
  <c r="AF179" i="43"/>
  <c r="AG179" i="43"/>
  <c r="AH179" i="43"/>
  <c r="AI179" i="43"/>
  <c r="AJ179" i="43"/>
  <c r="AK179" i="43"/>
  <c r="AL179" i="43"/>
  <c r="AM179" i="43"/>
  <c r="AN179" i="43"/>
  <c r="AE180" i="43"/>
  <c r="AF180" i="43"/>
  <c r="AG180" i="43"/>
  <c r="AH180" i="43"/>
  <c r="AI180" i="43"/>
  <c r="AJ180" i="43"/>
  <c r="AK180" i="43"/>
  <c r="AL180" i="43"/>
  <c r="AM180" i="43"/>
  <c r="AN180" i="43"/>
  <c r="AD185" i="43"/>
  <c r="AE185" i="43"/>
  <c r="AF185" i="43"/>
  <c r="AG185" i="43"/>
  <c r="AH185" i="43"/>
  <c r="AI185" i="43"/>
  <c r="AJ185" i="43"/>
  <c r="AK185" i="43"/>
  <c r="AL185" i="43"/>
  <c r="AM185" i="43"/>
  <c r="AN185" i="43"/>
  <c r="AP185" i="43"/>
  <c r="AD194" i="43"/>
  <c r="AE194" i="43"/>
  <c r="AF194" i="43"/>
  <c r="AG194" i="43"/>
  <c r="AH194" i="43"/>
  <c r="AI194" i="43"/>
  <c r="AJ194" i="43"/>
  <c r="AK194" i="43"/>
  <c r="AL194" i="43"/>
  <c r="AM194" i="43"/>
  <c r="AN194" i="43"/>
  <c r="AE195" i="43"/>
  <c r="AF195" i="43"/>
  <c r="AG195" i="43"/>
  <c r="AH195" i="43"/>
  <c r="AI195" i="43"/>
  <c r="AJ195" i="43"/>
  <c r="AK195" i="43"/>
  <c r="AL195" i="43"/>
  <c r="AM195" i="43"/>
  <c r="AN195" i="43"/>
  <c r="AD196" i="43"/>
  <c r="AE196" i="43"/>
  <c r="AF196" i="43"/>
  <c r="AG196" i="43"/>
  <c r="AH196" i="43"/>
  <c r="AI196" i="43"/>
  <c r="AJ196" i="43"/>
  <c r="AK196" i="43"/>
  <c r="AL196" i="43"/>
  <c r="AM196" i="43"/>
  <c r="AN196" i="43"/>
  <c r="AD197" i="43"/>
  <c r="AE197" i="43"/>
  <c r="AF197" i="43"/>
  <c r="AG197" i="43"/>
  <c r="AH197" i="43"/>
  <c r="AI197" i="43"/>
  <c r="AJ197" i="43"/>
  <c r="AK197" i="43"/>
  <c r="AL197" i="43"/>
  <c r="AM197" i="43"/>
  <c r="AN197" i="43"/>
  <c r="AD201" i="43"/>
  <c r="AE201" i="43"/>
  <c r="AF201" i="43"/>
  <c r="AG201" i="43"/>
  <c r="AH201" i="43"/>
  <c r="AI201" i="43"/>
  <c r="AJ201" i="43"/>
  <c r="AK201" i="43"/>
  <c r="AL201" i="43"/>
  <c r="AM201" i="43"/>
  <c r="AN201" i="43"/>
  <c r="AD203" i="43"/>
  <c r="AE203" i="43"/>
  <c r="AF203" i="43"/>
  <c r="AG203" i="43"/>
  <c r="AH203" i="43"/>
  <c r="AI203" i="43"/>
  <c r="AJ203" i="43"/>
  <c r="AK203" i="43"/>
  <c r="AL203" i="43"/>
  <c r="AM203" i="43"/>
  <c r="AN203" i="43"/>
  <c r="AP203" i="43"/>
  <c r="AD204" i="43"/>
  <c r="AE204" i="43"/>
  <c r="AF204" i="43"/>
  <c r="AG204" i="43"/>
  <c r="AH204" i="43"/>
  <c r="AI204" i="43"/>
  <c r="AJ204" i="43"/>
  <c r="AK204" i="43"/>
  <c r="AL204" i="43"/>
  <c r="AM204" i="43"/>
  <c r="AN204" i="43"/>
  <c r="AD205" i="43"/>
  <c r="AE205" i="43"/>
  <c r="AF205" i="43"/>
  <c r="AG205" i="43"/>
  <c r="AH205" i="43"/>
  <c r="AI205" i="43"/>
  <c r="AJ205" i="43"/>
  <c r="AK205" i="43"/>
  <c r="AL205" i="43"/>
  <c r="AM205" i="43"/>
  <c r="AN205" i="43"/>
  <c r="AD206" i="43"/>
  <c r="AE206" i="43"/>
  <c r="AF206" i="43"/>
  <c r="AG206" i="43"/>
  <c r="AH206" i="43"/>
  <c r="AI206" i="43"/>
  <c r="AJ206" i="43"/>
  <c r="AK206" i="43"/>
  <c r="AL206" i="43"/>
  <c r="AM206" i="43"/>
  <c r="AN206" i="43"/>
  <c r="AD207" i="43"/>
  <c r="AE207" i="43"/>
  <c r="AF207" i="43"/>
  <c r="AG207" i="43"/>
  <c r="AH207" i="43"/>
  <c r="AI207" i="43"/>
  <c r="AJ207" i="43"/>
  <c r="AK207" i="43"/>
  <c r="AL207" i="43"/>
  <c r="AM207" i="43"/>
  <c r="AN207" i="43"/>
  <c r="AE209" i="43"/>
  <c r="AF209" i="43"/>
  <c r="AG209" i="43"/>
  <c r="AH209" i="43"/>
  <c r="AI209" i="43"/>
  <c r="AJ209" i="43"/>
  <c r="AK209" i="43"/>
  <c r="AL209" i="43"/>
  <c r="AM209" i="43"/>
  <c r="AN209" i="43"/>
  <c r="AP209" i="43"/>
  <c r="AE211" i="43"/>
  <c r="AF211" i="43"/>
  <c r="AG211" i="43"/>
  <c r="AH211" i="43"/>
  <c r="AI211" i="43"/>
  <c r="AJ211" i="43"/>
  <c r="AK211" i="43"/>
  <c r="AL211" i="43"/>
  <c r="AM211" i="43"/>
  <c r="AN211" i="43"/>
  <c r="AS211" i="43"/>
  <c r="AE212" i="43"/>
  <c r="AF212" i="43"/>
  <c r="AG212" i="43"/>
  <c r="AH212" i="43"/>
  <c r="AI212" i="43"/>
  <c r="AJ212" i="43"/>
  <c r="AK212" i="43"/>
  <c r="AL212" i="43"/>
  <c r="AM212" i="43"/>
  <c r="AN212" i="43"/>
  <c r="AS212" i="43"/>
  <c r="AE213" i="43"/>
  <c r="AF213" i="43"/>
  <c r="AG213" i="43"/>
  <c r="AH213" i="43"/>
  <c r="AI213" i="43"/>
  <c r="AJ213" i="43"/>
  <c r="AK213" i="43"/>
  <c r="AL213" i="43"/>
  <c r="AM213" i="43"/>
  <c r="AN213" i="43"/>
  <c r="AS213" i="43"/>
  <c r="AE215" i="43"/>
  <c r="AF215" i="43"/>
  <c r="AG215" i="43"/>
  <c r="AH215" i="43"/>
  <c r="AI215" i="43"/>
  <c r="AJ215" i="43"/>
  <c r="AK215" i="43"/>
  <c r="AL215" i="43"/>
  <c r="AM215" i="43"/>
  <c r="AN215" i="43"/>
  <c r="AE216" i="43"/>
  <c r="AF216" i="43"/>
  <c r="AG216" i="43"/>
  <c r="AH216" i="43"/>
  <c r="AI216" i="43"/>
  <c r="AJ216" i="43"/>
  <c r="AK216" i="43"/>
  <c r="AL216" i="43"/>
  <c r="AM216" i="43"/>
  <c r="AN216" i="43"/>
  <c r="AE217" i="43"/>
  <c r="AF217" i="43"/>
  <c r="AG217" i="43"/>
  <c r="AH217" i="43"/>
  <c r="AI217" i="43"/>
  <c r="AJ217" i="43"/>
  <c r="AK217" i="43"/>
  <c r="AL217" i="43"/>
  <c r="AM217" i="43"/>
  <c r="AN217" i="43"/>
  <c r="AD222" i="43"/>
  <c r="AE222" i="43"/>
  <c r="AF222" i="43"/>
  <c r="AG222" i="43"/>
  <c r="AH222" i="43"/>
  <c r="AI222" i="43"/>
  <c r="AJ222" i="43"/>
  <c r="AK222" i="43"/>
  <c r="AL222" i="43"/>
  <c r="AM222" i="43"/>
  <c r="AN222" i="43"/>
  <c r="AP222" i="43"/>
  <c r="AD223" i="43"/>
  <c r="AE223" i="43"/>
  <c r="AF223" i="43"/>
  <c r="AG223" i="43"/>
  <c r="AH223" i="43"/>
  <c r="AI223" i="43"/>
  <c r="AJ223" i="43"/>
  <c r="AK223" i="43"/>
  <c r="AL223" i="43"/>
  <c r="AM223" i="43"/>
  <c r="AN223" i="43"/>
  <c r="AD224" i="43"/>
  <c r="AE224" i="43"/>
  <c r="AF224" i="43"/>
  <c r="AG224" i="43"/>
  <c r="AH224" i="43"/>
  <c r="AI224" i="43"/>
  <c r="AJ224" i="43"/>
  <c r="AK224" i="43"/>
  <c r="AL224" i="43"/>
  <c r="AM224" i="43"/>
  <c r="AN224" i="43"/>
  <c r="AD226" i="43"/>
  <c r="AE226" i="43"/>
  <c r="AF226" i="43"/>
  <c r="AG226" i="43"/>
  <c r="AH226" i="43"/>
  <c r="AI226" i="43"/>
  <c r="AJ226" i="43"/>
  <c r="AK226" i="43"/>
  <c r="AL226" i="43"/>
  <c r="AM226" i="43"/>
  <c r="AN226" i="43"/>
  <c r="AD227" i="43"/>
  <c r="AE227" i="43"/>
  <c r="AF227" i="43"/>
  <c r="AG227" i="43"/>
  <c r="AH227" i="43"/>
  <c r="AI227" i="43"/>
  <c r="AJ227" i="43"/>
  <c r="AK227" i="43"/>
  <c r="AL227" i="43"/>
  <c r="AM227" i="43"/>
  <c r="AN227" i="43"/>
  <c r="AE228" i="43"/>
  <c r="AF228" i="43"/>
  <c r="AG228" i="43"/>
  <c r="AH228" i="43"/>
  <c r="AI228" i="43"/>
  <c r="AJ228" i="43"/>
  <c r="AK228" i="43"/>
  <c r="AL228" i="43"/>
  <c r="AM228" i="43"/>
  <c r="AD229" i="43"/>
  <c r="AE229" i="43"/>
  <c r="AF229" i="43"/>
  <c r="AG229" i="43"/>
  <c r="AH229" i="43"/>
  <c r="AI229" i="43"/>
  <c r="AJ229" i="43"/>
  <c r="AK229" i="43"/>
  <c r="AL229" i="43"/>
  <c r="AM229" i="43"/>
  <c r="AN229" i="43"/>
  <c r="AD244" i="43"/>
  <c r="AE244" i="43"/>
  <c r="AF244" i="43"/>
  <c r="AG244" i="43"/>
  <c r="AH244" i="43"/>
  <c r="AI244" i="43"/>
  <c r="AJ244" i="43"/>
  <c r="AK244" i="43"/>
  <c r="AL244" i="43"/>
  <c r="AM244" i="43"/>
  <c r="AN244" i="43"/>
  <c r="AD245" i="43"/>
  <c r="AE245" i="43"/>
  <c r="AF245" i="43"/>
  <c r="AG245" i="43"/>
  <c r="AH245" i="43"/>
  <c r="AI245" i="43"/>
  <c r="AJ245" i="43"/>
  <c r="AK245" i="43"/>
  <c r="AL245" i="43"/>
  <c r="AM245" i="43"/>
  <c r="AN245" i="43"/>
  <c r="AE247" i="43"/>
  <c r="AF247" i="43"/>
  <c r="AG247" i="43"/>
  <c r="AH247" i="43"/>
  <c r="AI247" i="43"/>
  <c r="AJ247" i="43"/>
  <c r="AK247" i="43"/>
  <c r="AL247" i="43"/>
  <c r="AM247" i="43"/>
  <c r="AN247" i="43"/>
  <c r="AE249" i="43"/>
  <c r="AF249" i="43"/>
  <c r="AG249" i="43"/>
  <c r="AH249" i="43"/>
  <c r="AI249" i="43"/>
  <c r="AJ249" i="43"/>
  <c r="AK249" i="43"/>
  <c r="AL249" i="43"/>
  <c r="AM249" i="43"/>
  <c r="AN249" i="43"/>
  <c r="AE250" i="43"/>
  <c r="AF250" i="43"/>
  <c r="AG250" i="43"/>
  <c r="AH250" i="43"/>
  <c r="AI250" i="43"/>
  <c r="AJ250" i="43"/>
  <c r="AK250" i="43"/>
  <c r="AL250" i="43"/>
  <c r="AM250" i="43"/>
  <c r="AN250" i="43"/>
  <c r="AE251" i="43"/>
  <c r="AF251" i="43"/>
  <c r="AG251" i="43"/>
  <c r="AH251" i="43"/>
  <c r="AI251" i="43"/>
  <c r="AJ251" i="43"/>
  <c r="AK251" i="43"/>
  <c r="AL251" i="43"/>
  <c r="AM251" i="43"/>
  <c r="AN251" i="43"/>
  <c r="AD256" i="43"/>
  <c r="AE256" i="43"/>
  <c r="AF256" i="43"/>
  <c r="AG256" i="43"/>
  <c r="AH256" i="43"/>
  <c r="AI256" i="43"/>
  <c r="AJ256" i="43"/>
  <c r="AK256" i="43"/>
  <c r="AL256" i="43"/>
  <c r="AM256" i="43"/>
  <c r="AN256" i="43"/>
  <c r="AD258" i="43"/>
  <c r="AE258" i="43"/>
  <c r="AF258" i="43"/>
  <c r="AG258" i="43"/>
  <c r="AH258" i="43"/>
  <c r="AI258" i="43"/>
  <c r="AJ258" i="43"/>
  <c r="AK258" i="43"/>
  <c r="AL258" i="43"/>
  <c r="AM258" i="43"/>
  <c r="AN258" i="43"/>
  <c r="AD259" i="43"/>
  <c r="AE259" i="43"/>
  <c r="AF259" i="43"/>
  <c r="AG259" i="43"/>
  <c r="AH259" i="43"/>
  <c r="AI259" i="43"/>
  <c r="AJ259" i="43"/>
  <c r="AK259" i="43"/>
  <c r="AL259" i="43"/>
  <c r="AM259" i="43"/>
  <c r="AN259" i="43"/>
  <c r="AD261" i="43"/>
  <c r="AE261" i="43"/>
  <c r="AF261" i="43"/>
  <c r="AG261" i="43"/>
  <c r="AH261" i="43"/>
  <c r="AI261" i="43"/>
  <c r="AJ261" i="43"/>
  <c r="AK261" i="43"/>
  <c r="AL261" i="43"/>
  <c r="AM261" i="43"/>
  <c r="AN261" i="43"/>
  <c r="AD264" i="43"/>
  <c r="AE264" i="43"/>
  <c r="AF264" i="43"/>
  <c r="AG264" i="43"/>
  <c r="AH264" i="43"/>
  <c r="AI264" i="43"/>
  <c r="AJ264" i="43"/>
  <c r="AK264" i="43"/>
  <c r="AL264" i="43"/>
  <c r="AM264" i="43"/>
  <c r="AN264" i="43"/>
  <c r="AP264" i="43"/>
  <c r="AF268" i="43"/>
  <c r="AG268" i="43"/>
  <c r="AH268" i="43"/>
  <c r="AI268" i="43"/>
  <c r="AJ268" i="43"/>
  <c r="AK268" i="43"/>
  <c r="AL268" i="43"/>
  <c r="AM268" i="43"/>
  <c r="AN268" i="43"/>
  <c r="AE269" i="43"/>
  <c r="AF269" i="43"/>
  <c r="AG269" i="43"/>
  <c r="AH269" i="43"/>
  <c r="AI269" i="43"/>
  <c r="AJ269" i="43"/>
  <c r="AK269" i="43"/>
  <c r="AL269" i="43"/>
  <c r="AM269" i="43"/>
  <c r="AN269" i="43"/>
  <c r="AF270" i="43"/>
  <c r="AG270" i="43"/>
  <c r="AH270" i="43"/>
  <c r="AI270" i="43"/>
  <c r="AJ270" i="43"/>
  <c r="AK270" i="43"/>
  <c r="AL270" i="43"/>
  <c r="AM270" i="43"/>
  <c r="AN270" i="43"/>
  <c r="AE273" i="43"/>
  <c r="AF273" i="43"/>
  <c r="AG273" i="43"/>
  <c r="AH273" i="43"/>
  <c r="AI273" i="43"/>
  <c r="AJ273" i="43"/>
  <c r="AK273" i="43"/>
  <c r="AL273" i="43"/>
  <c r="AM273" i="43"/>
  <c r="AN273" i="43"/>
  <c r="AE276" i="43"/>
  <c r="AF276" i="43"/>
  <c r="AG276" i="43"/>
  <c r="AH276" i="43"/>
  <c r="AI276" i="43"/>
  <c r="AJ276" i="43"/>
  <c r="AK276" i="43"/>
  <c r="AL276" i="43"/>
  <c r="AM276" i="43"/>
  <c r="AN276" i="43"/>
  <c r="AF278" i="43"/>
  <c r="AG278" i="43"/>
  <c r="AH278" i="43"/>
  <c r="AI278" i="43"/>
  <c r="AJ278" i="43"/>
  <c r="AK278" i="43"/>
  <c r="AL278" i="43"/>
  <c r="AM278" i="43"/>
  <c r="AN278" i="43"/>
  <c r="AE279" i="43"/>
  <c r="AF279" i="43"/>
  <c r="AG279" i="43"/>
  <c r="AH279" i="43"/>
  <c r="AI279" i="43"/>
  <c r="AJ279" i="43"/>
  <c r="AK279" i="43"/>
  <c r="AL279" i="43"/>
  <c r="AM279" i="43"/>
  <c r="AN279" i="43"/>
  <c r="AE282" i="43"/>
  <c r="AF282" i="43"/>
  <c r="AG282" i="43"/>
  <c r="AH282" i="43"/>
  <c r="AI282" i="43"/>
  <c r="AJ282" i="43"/>
  <c r="AK282" i="43"/>
  <c r="AL282" i="43"/>
  <c r="AM282" i="43"/>
  <c r="AN282" i="43"/>
  <c r="AE285" i="43"/>
  <c r="AF285" i="43"/>
  <c r="AG285" i="43"/>
  <c r="AH285" i="43"/>
  <c r="AI285" i="43"/>
  <c r="AJ285" i="43"/>
  <c r="AK285" i="43"/>
  <c r="AL285" i="43"/>
  <c r="AM285" i="43"/>
  <c r="AN285" i="43"/>
  <c r="AF286" i="43"/>
  <c r="AG286" i="43"/>
  <c r="AH286" i="43"/>
  <c r="AI286" i="43"/>
  <c r="AJ286" i="43"/>
  <c r="AK286" i="43"/>
  <c r="AL286" i="43"/>
  <c r="AM286" i="43"/>
  <c r="AN286" i="43"/>
  <c r="AE295" i="43"/>
  <c r="AF295" i="43"/>
  <c r="AG295" i="43"/>
  <c r="AH295" i="43"/>
  <c r="AI295" i="43"/>
  <c r="AJ295" i="43"/>
  <c r="AK295" i="43"/>
  <c r="AL295" i="43"/>
  <c r="AM295" i="43"/>
  <c r="AN295" i="43"/>
  <c r="AF297" i="43"/>
  <c r="AG297" i="43"/>
  <c r="AH297" i="43"/>
  <c r="AI297" i="43"/>
  <c r="AJ297" i="43"/>
  <c r="AK297" i="43"/>
  <c r="AL297" i="43"/>
  <c r="AM297" i="43"/>
  <c r="AN297" i="43"/>
  <c r="AF301" i="43"/>
  <c r="AG301" i="43"/>
  <c r="AH301" i="43"/>
  <c r="AI301" i="43"/>
  <c r="AJ301" i="43"/>
  <c r="AK301" i="43"/>
  <c r="AL301" i="43"/>
  <c r="AM301" i="43"/>
  <c r="AN301" i="43"/>
  <c r="AF302" i="43"/>
  <c r="AG302" i="43"/>
  <c r="AH302" i="43"/>
  <c r="AI302" i="43"/>
  <c r="AJ302" i="43"/>
  <c r="AK302" i="43"/>
  <c r="AL302" i="43"/>
  <c r="AM302" i="43"/>
  <c r="AN302" i="43"/>
  <c r="AF303" i="43"/>
  <c r="AG303" i="43"/>
  <c r="AH303" i="43"/>
  <c r="AI303" i="43"/>
  <c r="AJ303" i="43"/>
  <c r="AK303" i="43"/>
  <c r="AL303" i="43"/>
  <c r="AM303" i="43"/>
  <c r="AN303" i="43"/>
  <c r="AF304" i="43"/>
  <c r="AG304" i="43"/>
  <c r="AH304" i="43"/>
  <c r="AI304" i="43"/>
  <c r="AJ304" i="43"/>
  <c r="AK304" i="43"/>
  <c r="AL304" i="43"/>
  <c r="AM304" i="43"/>
  <c r="AN304" i="43"/>
  <c r="AF305" i="43"/>
  <c r="AG305" i="43"/>
  <c r="AH305" i="43"/>
  <c r="AI305" i="43"/>
  <c r="AJ305" i="43"/>
  <c r="AK305" i="43"/>
  <c r="AL305" i="43"/>
  <c r="AM305" i="43"/>
  <c r="AN305" i="43"/>
  <c r="AD311" i="43"/>
  <c r="AE311" i="43"/>
  <c r="AF311" i="43"/>
  <c r="AG311" i="43"/>
  <c r="AH311" i="43"/>
  <c r="AI311" i="43"/>
  <c r="AJ311" i="43"/>
  <c r="AK311" i="43"/>
  <c r="AL311" i="43"/>
  <c r="AM311" i="43"/>
  <c r="AN311" i="43"/>
  <c r="AP311" i="43"/>
  <c r="AD312" i="43"/>
  <c r="AE312" i="43"/>
  <c r="AF312" i="43"/>
  <c r="AG312" i="43"/>
  <c r="AH312" i="43"/>
  <c r="AI312" i="43"/>
  <c r="AJ312" i="43"/>
  <c r="AK312" i="43"/>
  <c r="AL312" i="43"/>
  <c r="AM312" i="43"/>
  <c r="AN312" i="43"/>
  <c r="AD313" i="43"/>
  <c r="AE313" i="43"/>
  <c r="AF313" i="43"/>
  <c r="AG313" i="43"/>
  <c r="AH313" i="43"/>
  <c r="AI313" i="43"/>
  <c r="AJ313" i="43"/>
  <c r="AK313" i="43"/>
  <c r="AL313" i="43"/>
  <c r="AM313" i="43"/>
  <c r="AN313" i="43"/>
  <c r="AD314" i="43"/>
  <c r="AE314" i="43"/>
  <c r="AF314" i="43"/>
  <c r="AG314" i="43"/>
  <c r="AH314" i="43"/>
  <c r="AI314" i="43"/>
  <c r="AJ314" i="43"/>
  <c r="AK314" i="43"/>
  <c r="AL314" i="43"/>
  <c r="AM314" i="43"/>
  <c r="AN314" i="43"/>
  <c r="AD315" i="43"/>
  <c r="AE315" i="43"/>
  <c r="AF315" i="43"/>
  <c r="AG315" i="43"/>
  <c r="AH315" i="43"/>
  <c r="AI315" i="43"/>
  <c r="AJ315" i="43"/>
  <c r="AK315" i="43"/>
  <c r="AL315" i="43"/>
  <c r="AM315" i="43"/>
  <c r="AN315" i="43"/>
  <c r="AP315" i="43"/>
  <c r="AD316" i="43"/>
  <c r="AE316" i="43"/>
  <c r="AF316" i="43"/>
  <c r="AG316" i="43"/>
  <c r="AH316" i="43"/>
  <c r="AI316" i="43"/>
  <c r="AJ316" i="43"/>
  <c r="AK316" i="43"/>
  <c r="AL316" i="43"/>
  <c r="AM316" i="43"/>
  <c r="AN316" i="43"/>
  <c r="AS316" i="43"/>
  <c r="AD317" i="43"/>
  <c r="AE317" i="43"/>
  <c r="AF317" i="43"/>
  <c r="AG317" i="43"/>
  <c r="AH317" i="43"/>
  <c r="AI317" i="43"/>
  <c r="AJ317" i="43"/>
  <c r="AK317" i="43"/>
  <c r="AL317" i="43"/>
  <c r="AM317" i="43"/>
  <c r="AN317" i="43"/>
  <c r="AS317" i="43"/>
  <c r="AD318" i="43"/>
  <c r="AE318" i="43"/>
  <c r="AF318" i="43"/>
  <c r="AG318" i="43"/>
  <c r="AH318" i="43"/>
  <c r="AI318" i="43"/>
  <c r="AJ318" i="43"/>
  <c r="AK318" i="43"/>
  <c r="AL318" i="43"/>
  <c r="AM318" i="43"/>
  <c r="AN318" i="43"/>
  <c r="AD319" i="43"/>
  <c r="AE319" i="43"/>
  <c r="AF319" i="43"/>
  <c r="AG319" i="43"/>
  <c r="AH319" i="43"/>
  <c r="AI319" i="43"/>
  <c r="AJ319" i="43"/>
  <c r="AK319" i="43"/>
  <c r="AL319" i="43"/>
  <c r="AM319" i="43"/>
  <c r="AN319" i="43"/>
  <c r="AD320" i="43"/>
  <c r="AE320" i="43"/>
  <c r="AF320" i="43"/>
  <c r="AG320" i="43"/>
  <c r="AH320" i="43"/>
  <c r="AI320" i="43"/>
  <c r="AJ320" i="43"/>
  <c r="AK320" i="43"/>
  <c r="AL320" i="43"/>
  <c r="AM320" i="43"/>
  <c r="AN320" i="43"/>
  <c r="AS320" i="43"/>
  <c r="AD321" i="43"/>
  <c r="AE321" i="43"/>
  <c r="AF321" i="43"/>
  <c r="AG321" i="43"/>
  <c r="AH321" i="43"/>
  <c r="AI321" i="43"/>
  <c r="AJ321" i="43"/>
  <c r="AK321" i="43"/>
  <c r="AL321" i="43"/>
  <c r="AM321" i="43"/>
  <c r="AN321" i="43"/>
  <c r="AS321" i="43"/>
  <c r="AD323" i="43"/>
  <c r="AE323" i="43"/>
  <c r="AF323" i="43"/>
  <c r="AG323" i="43"/>
  <c r="AH323" i="43"/>
  <c r="AI323" i="43"/>
  <c r="AJ323" i="43"/>
  <c r="AK323" i="43"/>
  <c r="AL323" i="43"/>
  <c r="AM323" i="43"/>
  <c r="AN323" i="43"/>
  <c r="AS323" i="43"/>
  <c r="AD324" i="43"/>
  <c r="AE324" i="43"/>
  <c r="AF324" i="43"/>
  <c r="AG324" i="43"/>
  <c r="AH324" i="43"/>
  <c r="AI324" i="43"/>
  <c r="AJ324" i="43"/>
  <c r="AK324" i="43"/>
  <c r="AL324" i="43"/>
  <c r="AM324" i="43"/>
  <c r="AN324" i="43"/>
  <c r="AS324" i="43"/>
  <c r="AD325" i="43"/>
  <c r="AE325" i="43"/>
  <c r="AF325" i="43"/>
  <c r="AG325" i="43"/>
  <c r="AH325" i="43"/>
  <c r="AI325" i="43"/>
  <c r="AJ325" i="43"/>
  <c r="AK325" i="43"/>
  <c r="AL325" i="43"/>
  <c r="AM325" i="43"/>
  <c r="AN325" i="43"/>
  <c r="AS325" i="43"/>
  <c r="AD326" i="43"/>
  <c r="AE326" i="43"/>
  <c r="AF326" i="43"/>
  <c r="AG326" i="43"/>
  <c r="AH326" i="43"/>
  <c r="AI326" i="43"/>
  <c r="AJ326" i="43"/>
  <c r="AK326" i="43"/>
  <c r="AL326" i="43"/>
  <c r="AM326" i="43"/>
  <c r="AN326" i="43"/>
  <c r="AS326" i="43"/>
  <c r="AE330" i="43"/>
  <c r="AF330" i="43"/>
  <c r="AG330" i="43"/>
  <c r="AH330" i="43"/>
  <c r="AI330" i="43"/>
  <c r="AJ330" i="43"/>
  <c r="AK330" i="43"/>
  <c r="AL330" i="43"/>
  <c r="AM330" i="43"/>
  <c r="AN330" i="43"/>
  <c r="AE331" i="43"/>
  <c r="AF331" i="43"/>
  <c r="AG331" i="43"/>
  <c r="AH331" i="43"/>
  <c r="AI331" i="43"/>
  <c r="AJ331" i="43"/>
  <c r="AK331" i="43"/>
  <c r="AL331" i="43"/>
  <c r="AM331" i="43"/>
  <c r="AN331" i="43"/>
  <c r="AE332" i="43"/>
  <c r="AF332" i="43"/>
  <c r="AG332" i="43"/>
  <c r="AH332" i="43"/>
  <c r="AI332" i="43"/>
  <c r="AJ332" i="43"/>
  <c r="AK332" i="43"/>
  <c r="AL332" i="43"/>
  <c r="AM332" i="43"/>
  <c r="AN332" i="43"/>
  <c r="AD333" i="43"/>
  <c r="AE333" i="43"/>
  <c r="AF333" i="43"/>
  <c r="AG333" i="43"/>
  <c r="AH333" i="43"/>
  <c r="AI333" i="43"/>
  <c r="AJ333" i="43"/>
  <c r="AK333" i="43"/>
  <c r="AL333" i="43"/>
  <c r="AM333" i="43"/>
  <c r="AN333" i="43"/>
  <c r="B6" i="253"/>
  <c r="C16" i="253"/>
  <c r="D16" i="253"/>
  <c r="E16" i="253"/>
  <c r="F16" i="253"/>
  <c r="G16" i="253"/>
  <c r="H16" i="253"/>
  <c r="I16" i="253"/>
  <c r="C19" i="253"/>
  <c r="D19" i="253"/>
  <c r="E19" i="253"/>
  <c r="F19" i="253"/>
  <c r="G19" i="253"/>
  <c r="H19" i="253"/>
  <c r="I19" i="253"/>
  <c r="C22" i="253"/>
  <c r="D22" i="253"/>
  <c r="E22" i="253"/>
  <c r="F22" i="253"/>
  <c r="G22" i="253"/>
  <c r="H22" i="253"/>
  <c r="I22" i="253"/>
  <c r="B23" i="253"/>
</calcChain>
</file>

<file path=xl/comments1.xml><?xml version="1.0" encoding="utf-8"?>
<comments xmlns="http://schemas.openxmlformats.org/spreadsheetml/2006/main">
  <authors>
    <author>Ram Zilka</author>
  </authors>
  <commentList>
    <comment ref="AD157" authorId="0" shapeId="0">
      <text>
        <r>
          <rPr>
            <sz val="9"/>
            <color indexed="81"/>
            <rFont val="Tahoma"/>
            <family val="2"/>
          </rPr>
          <t>Ahern Rentals Acquisition</t>
        </r>
      </text>
    </comment>
    <comment ref="T181" authorId="0" shapeId="0">
      <text>
        <r>
          <rPr>
            <sz val="9"/>
            <color indexed="81"/>
            <rFont val="Tahoma"/>
            <family val="2"/>
          </rPr>
          <t>Includes Other Intangible Assets</t>
        </r>
      </text>
    </comment>
  </commentList>
</comments>
</file>

<file path=xl/sharedStrings.xml><?xml version="1.0" encoding="utf-8"?>
<sst xmlns="http://schemas.openxmlformats.org/spreadsheetml/2006/main" count="555" uniqueCount="382">
  <si>
    <t>ROE</t>
  </si>
  <si>
    <t>EBIT</t>
  </si>
  <si>
    <t>Tax Rate</t>
  </si>
  <si>
    <t>EBIT*(1-Tax Rate)</t>
  </si>
  <si>
    <t>DD&amp;A</t>
  </si>
  <si>
    <t>Year</t>
  </si>
  <si>
    <t>Period</t>
  </si>
  <si>
    <t>Free Cash Flow to Firm</t>
  </si>
  <si>
    <t>WACC</t>
  </si>
  <si>
    <t>Discount Factor</t>
  </si>
  <si>
    <t>Current period adjustment</t>
  </si>
  <si>
    <t>PV FCFF</t>
  </si>
  <si>
    <t>Enterprise Value</t>
  </si>
  <si>
    <t>Less: Debt</t>
  </si>
  <si>
    <t>Less: Prefs</t>
  </si>
  <si>
    <t>Less: Minority Interest</t>
  </si>
  <si>
    <t>Plus: Net Cash</t>
  </si>
  <si>
    <t>Equity Value</t>
  </si>
  <si>
    <t>Shares Outstanding</t>
  </si>
  <si>
    <t>Intrinsic value/share</t>
  </si>
  <si>
    <t>Exit Share Price</t>
  </si>
  <si>
    <t>EPS</t>
  </si>
  <si>
    <t>FV FCFF</t>
  </si>
  <si>
    <t>Y/Y EPS Growth</t>
  </si>
  <si>
    <t>Y/Y FCFF Growth</t>
  </si>
  <si>
    <t>Discounted Cash Flow (DCF)</t>
  </si>
  <si>
    <t>Current year</t>
  </si>
  <si>
    <t>Risk free rate</t>
  </si>
  <si>
    <t>EQRP</t>
  </si>
  <si>
    <t>Cost of Debt</t>
  </si>
  <si>
    <t>After-tax Cost of Debt</t>
  </si>
  <si>
    <t>Current Price</t>
  </si>
  <si>
    <t>Pref Value</t>
  </si>
  <si>
    <t>Debt Value</t>
  </si>
  <si>
    <t>Override</t>
  </si>
  <si>
    <t>WACC - Model</t>
  </si>
  <si>
    <t>na</t>
  </si>
  <si>
    <t>Terminal Value Assumptions - EV</t>
  </si>
  <si>
    <t>Terminal Growth Rate</t>
  </si>
  <si>
    <t>Cost of Capital</t>
  </si>
  <si>
    <t>Excess ROIC</t>
  </si>
  <si>
    <t>Terminal Growth</t>
  </si>
  <si>
    <t>n=</t>
  </si>
  <si>
    <t>ROIC</t>
  </si>
  <si>
    <t>Avg. ROIC</t>
  </si>
  <si>
    <t>Avg. ROE</t>
  </si>
  <si>
    <t>Actual Company History</t>
  </si>
  <si>
    <t>Implied ROIC</t>
  </si>
  <si>
    <t>Implied Exit P/E (1Y Forward)</t>
  </si>
  <si>
    <t>ND/EBITDA</t>
  </si>
  <si>
    <t>Forecast</t>
  </si>
  <si>
    <t>Reinvest. Rate (Capex/EBIT)</t>
  </si>
  <si>
    <t>Date:</t>
  </si>
  <si>
    <t>Exchange:</t>
  </si>
  <si>
    <t>Ticker:</t>
  </si>
  <si>
    <t>Terminal Enterprise Value</t>
  </si>
  <si>
    <t>Terminal Equity Value</t>
  </si>
  <si>
    <t>Terminal Growth Spread</t>
  </si>
  <si>
    <t>Cap./EBIT</t>
  </si>
  <si>
    <t>Credit Spread</t>
  </si>
  <si>
    <t>Ticker Details</t>
  </si>
  <si>
    <t>CAGR</t>
  </si>
  <si>
    <t>EBITDA</t>
  </si>
  <si>
    <t>EBITDA Margin</t>
  </si>
  <si>
    <t>Income Statement</t>
  </si>
  <si>
    <t>SG&amp;A (incl. stock-based comp)</t>
  </si>
  <si>
    <t>Impairment</t>
  </si>
  <si>
    <t>Interest income</t>
  </si>
  <si>
    <t>Interest expense</t>
  </si>
  <si>
    <t>EBT</t>
  </si>
  <si>
    <t>Current tax</t>
  </si>
  <si>
    <t>Current tax rate</t>
  </si>
  <si>
    <t>Deferred tax</t>
  </si>
  <si>
    <t>Deferred tax rate</t>
  </si>
  <si>
    <t>Net Income</t>
  </si>
  <si>
    <t>Discontinued operations</t>
  </si>
  <si>
    <t>Minority Interest</t>
  </si>
  <si>
    <t>Prefs</t>
  </si>
  <si>
    <t>Net Income to Common</t>
  </si>
  <si>
    <t>Check</t>
  </si>
  <si>
    <t>W.A. shares outstanding (diluted)</t>
  </si>
  <si>
    <t>EPS to common</t>
  </si>
  <si>
    <t>EPS growth rate</t>
  </si>
  <si>
    <t>Cash Flow Statement</t>
  </si>
  <si>
    <t>Deferred taxes</t>
  </si>
  <si>
    <t>Share Based Comp</t>
  </si>
  <si>
    <t>Other</t>
  </si>
  <si>
    <t>Change in NWC</t>
  </si>
  <si>
    <t>Cash Flow from Operations</t>
  </si>
  <si>
    <t>Capex</t>
  </si>
  <si>
    <t>M&amp;A</t>
  </si>
  <si>
    <t>Cash Flow from Investing</t>
  </si>
  <si>
    <t>Change in debt</t>
  </si>
  <si>
    <t>Common dividends (net of DRIP)</t>
  </si>
  <si>
    <t>Cash Flow from Financing</t>
  </si>
  <si>
    <t>Other changes in cash</t>
  </si>
  <si>
    <t>Total change in cash</t>
  </si>
  <si>
    <t>Balance Sheet</t>
  </si>
  <si>
    <t>Investment Securities</t>
  </si>
  <si>
    <t>Current assets</t>
  </si>
  <si>
    <t>PP&amp;E</t>
  </si>
  <si>
    <t>Goodwill</t>
  </si>
  <si>
    <t>Intangibles</t>
  </si>
  <si>
    <t>Total assets</t>
  </si>
  <si>
    <t>Short-term debt</t>
  </si>
  <si>
    <t>Trade &amp; other payables</t>
  </si>
  <si>
    <t>Current liabilities</t>
  </si>
  <si>
    <t>Total liabilities</t>
  </si>
  <si>
    <t>Common equity</t>
  </si>
  <si>
    <t>Retained earnings and OCI</t>
  </si>
  <si>
    <t>Total liabilities &amp; equity</t>
  </si>
  <si>
    <t>non-cash NWC</t>
  </si>
  <si>
    <t>Gross Margin</t>
  </si>
  <si>
    <t>Net Margin</t>
  </si>
  <si>
    <t>Debt &amp; Interest Expense</t>
  </si>
  <si>
    <t>Total debt</t>
  </si>
  <si>
    <t>Net debt</t>
  </si>
  <si>
    <t>Average debt</t>
  </si>
  <si>
    <t>Interest rate</t>
  </si>
  <si>
    <t>Weighted-average basic (mln)</t>
  </si>
  <si>
    <t>Weighted-average diluted (mln)</t>
  </si>
  <si>
    <t>PP&amp;E &amp; Other Assets</t>
  </si>
  <si>
    <t>Ratios</t>
  </si>
  <si>
    <t>Book Value of Equity</t>
  </si>
  <si>
    <t>BVPS</t>
  </si>
  <si>
    <t>Invested Capital</t>
  </si>
  <si>
    <t>EBIT Margin</t>
  </si>
  <si>
    <t>Net margin (NI/S)</t>
  </si>
  <si>
    <t>Asset turnover (S/A)</t>
  </si>
  <si>
    <t>Leverage (A/E)</t>
  </si>
  <si>
    <t>Financial Statements</t>
  </si>
  <si>
    <t>Gross Revenue</t>
  </si>
  <si>
    <t>Cost of Revenue</t>
  </si>
  <si>
    <t>Operating Costs</t>
  </si>
  <si>
    <t>W.A. Shares Outstanding</t>
  </si>
  <si>
    <t>EPS Growth Rate</t>
  </si>
  <si>
    <t>Cash Flow From Investing</t>
  </si>
  <si>
    <t>Cash Flow From Financing</t>
  </si>
  <si>
    <t>Current Assets</t>
  </si>
  <si>
    <t>Cash &amp; Equivalents</t>
  </si>
  <si>
    <t>Total Assets</t>
  </si>
  <si>
    <t>Short-term Debt</t>
  </si>
  <si>
    <t>Current Liabilities</t>
  </si>
  <si>
    <t>Total Liabilities</t>
  </si>
  <si>
    <t>Long-term Debt</t>
  </si>
  <si>
    <t>Common Equity</t>
  </si>
  <si>
    <t>Segment Analysis</t>
  </si>
  <si>
    <t>Balance Sheet Drivers</t>
  </si>
  <si>
    <t>Profitability (Return)</t>
  </si>
  <si>
    <t>Profitability (Margins)</t>
  </si>
  <si>
    <t>Revenue</t>
  </si>
  <si>
    <t>EBITDA Margins</t>
  </si>
  <si>
    <t>Capex, M&amp;A</t>
  </si>
  <si>
    <t>Y/Y Revenue Growth</t>
  </si>
  <si>
    <t>Y/Y EBITDA Growth</t>
  </si>
  <si>
    <t>Cash Flow from Operating Activities</t>
  </si>
  <si>
    <t>Change in non-cash NWC</t>
  </si>
  <si>
    <t>ROIC (excl. excess cash)</t>
  </si>
  <si>
    <t>Gain(loss) assets held for sale</t>
  </si>
  <si>
    <t>Net Revenue</t>
  </si>
  <si>
    <t>CFO/share</t>
  </si>
  <si>
    <t>BVPS - ex.cash</t>
  </si>
  <si>
    <t>Invested Capital - ex.cash</t>
  </si>
  <si>
    <t>Terminal WACC</t>
  </si>
  <si>
    <t>Terminal WACC Assumptions</t>
  </si>
  <si>
    <t>Terminal D/EBITDA</t>
  </si>
  <si>
    <t>Terminal D/Cap</t>
  </si>
  <si>
    <t>Change in common equity (net)</t>
  </si>
  <si>
    <t>Model Drivers</t>
  </si>
  <si>
    <t>Impairments</t>
  </si>
  <si>
    <t>AwABTAVMT0NBTAFI/////wFQEgAAADtDSVFBVkcuTkFTREFRR1M6VFRXTy5JUV9MQVNUU0FMRVBSSUNFLjAxLzAxLzIwMTAuMzEvMTIvMjAxMAEAAABRqgUAAgAAABAxMC4yODI0NjAzMTc0NjAzAHD7R4YQcdgIZfFLhhBx2Ag7Q0lRQVZHLk5BU0RBUUdTOlRUV08uSVFfTEFTVFNBTEVQUklDRS4wMS8wMS8yMDE0LjMxLzEyLzIwMTQBAAAAUaoFAAIAAAAQMjIuMDY3OTE2NjY2NjY2NwBw+0eGEHHYCITKS4YQcdgIO0NJUUFWRy5OQVNEQVFHUzpUVFdPLklRX0xBU1RTQUxFUFJJQ0UuMDEvMDEvMjAxMi4zMS8xMi8yMDEyAQAAAFGqBQACAAAACjEyLjI4MDc3OTYAcPtHhhBx2Ahl8UuGEHHYCDtDSVFBVkcuTkFTREFRR1M6VFRXTy5JUV9MQVNUU0FMRVBSSUNFLjAxLzAxLzIwMDUuMzEvMTIvMjAwNQEAAABRqgUAAgAAABAyMy41MDQxNjc1Mzk2ODI1AHD7R4YQcdgIZfFLhhBx2Ag7Q0lRQVZHLk5BU0RBUUdTOlRUV08uSVFfTEFTVFNBTEVQUklDRS4wMS8wMS8yMDE3LjMxLzEyLzIwMTcBAAAAUaoFAAIAAAAQODAuODYwMTU5MzYyNTQ5OABw+0eGEHHYCIqjS4YQcdgIK0NJUS5OQVNEQVE6VFRXTy5JUV9MQVNUU0FMRVBSSUNFLjE1LzEwLzIwMjABAAAAUaoFAAIAAAAHMTY4LjAwNQBw+0eGEHHYCN92s4YQcdgIIUNJUS5OQVNEQVE6VFRXTy5JUV9MQVNUU0FMRVBSSUNFLgEAAABRqgUAAgAAAAcxNjguMDA1</t>
  </si>
  <si>
    <t>AKxEsIYQcdgI33azhhBx2Ag7Q0lRQVZHLk5BU0RBUUdTOlRUV08uSVFfTEFTVFNBTEVQUklDRS4wMS8wMS8yMDE5LjMxLzEyLzIwMTkBAAAAUaoFAAIAAAAQMTExLjgwMjIyMjIyMjIyMgBw+0eGEHHYCITKS4YQcdgIO0NJUUFWRy5OQVNEQVFHUzpUVFdPLklRX0xBU1RTQUxFUFJJQ0UuMDEvMDEvMjAwOS4zMS8xMi8yMDA5AQAAAFGqBQACAAAAEDkuMjEzNjcwNjM0OTIwNjQAcPtHhhBx2Ahl8UuGEHHYCDtDSVFBVkcuTkFTREFRR1M6VFRXTy5JUV9MQVNUU0FMRVBSSUNFLjAxLzAxLzIwMTEuMzEvMTIvMjAxMQEAAABRqgUAAgAAABAxNC4zNzQyMDYzNDkyMDYzAHD7R4YQcdgIZfFLhhBx2Ag7Q0lRQVZHLk5BU0RBUUdTOlRUV08uSVFfTEFTVFNBTEVQUklDRS4wMS8wMS8yMDE2LjMxLzEyLzIwMTYBAAAAUaoFAAIAAAAQNDAuMjQ4NTMxNzQ2MDMxNwBw+0eGEHHYCITKS4YQcdgIO0NJUUFWRy5OQVNEQVFHUzpUVFdPLklRX0xBU1RTQUxFUFJJQ0UuMDEvMDEvMjAyMC4zMS8xMi8yMDIwAQAAAFGqBQACAAAAEDEzOC43MTIzMzY2ODM0MTcAcPtHhhBx2AiEykuGEHHYCDtDSVFBVkcuTkFTREFRR1M6VFRXTy5JUV9MQVNUU0FMRVBSSUNFLjAxLzAxLzIwMDcuMzEvMTIvMjAwNwEAAABRqgUAAgAAABAxOC4yNjM3NDAyMzkwNDM4AHD7R4YQcdgIZfFLhhBx2Ag7Q0lRQVZHLk5BU0RBUUdTOlRUV08uSVFfTEFT</t>
  </si>
  <si>
    <t>VFNBTEVQUklDRS4wMS8wMS8yMDE4LjMxLzEyLzIwMTgBAAAAUaoFAAIAAAAQMTE1Ljg5NzUwOTk2MDE1OQBw+0eGEHHYCITKS4YQcdgIO0NJUUFWRy5OQVNEQVFHUzpUVFdPLklRX0xBU1RTQUxFUFJJQ0UuMDEvMDEvMjAwOC4zMS8xMi8yMDA4AQAAAFGqBQACAAAAEDIwLjEyMzI4MDYzMjQxMTEAcPtHhhBx2AgpF0yGEHHYCDtDSVFBVkcuTkFTREFRR1M6VFRXTy5JUV9MQVNUU0FMRVBSSUNFLjAxLzAxLzIwMTUuMzEvMTIvMjAxNQEAAABRqgUAAgAAABAyOS4yNjcxNDI4NTcxNDI5AHD7R4YQcdgIhMpLhhBx2Ag7Q0lRQVZHLk5BU0RBUUdTOlRUV08uSVFfTEFTVFNBTEVQUklDRS4wMS8wMS8yMDEzLjMxLzEyLzIwMTMBAAAAUaoFAAIAAAAQMTYuMTc2MTc0NjAzMTc0NgBw+0eGEHHYCITKS4YQcdgIO0NJUUFWRy5OQVNEQVFHUzpUVFdPLklRX0xBU1RTQUxFUFJJQ0UuMDEvMDEvMjAwNi4zMS8xMi8yMDA2AQAAAFGqBQACAAAAEDE1LjE5NDU0MTQzNDI2MjkAcPtHhhBx2Ahl8UuGEHHYCA==</t>
  </si>
  <si>
    <t>Other - Capex</t>
  </si>
  <si>
    <t>Operating Income</t>
  </si>
  <si>
    <t>SG&amp;A</t>
  </si>
  <si>
    <t>Delta</t>
  </si>
  <si>
    <t>Remaining Useful Life</t>
  </si>
  <si>
    <t>Revenue/PP&amp;E</t>
  </si>
  <si>
    <t>non-cash NWC as % of revenue</t>
  </si>
  <si>
    <t>Opening ROU</t>
  </si>
  <si>
    <t>Ending ROU</t>
  </si>
  <si>
    <t>Actual Change in non-cash NWC</t>
  </si>
  <si>
    <t>P/B</t>
  </si>
  <si>
    <t>Cash</t>
  </si>
  <si>
    <t>Trade and other receivables</t>
  </si>
  <si>
    <t>Inventories</t>
  </si>
  <si>
    <t>Prepaid expenses and other assets</t>
  </si>
  <si>
    <t>Other financial liabilities</t>
  </si>
  <si>
    <t>Deferred revenue and other liabilities</t>
  </si>
  <si>
    <t>Income taxes payable</t>
  </si>
  <si>
    <t>Borrowings</t>
  </si>
  <si>
    <t>Exchange rights</t>
  </si>
  <si>
    <t>Foreign exchange translation reserve</t>
  </si>
  <si>
    <t>D&amp;A</t>
  </si>
  <si>
    <t>Special charges</t>
  </si>
  <si>
    <t>Other expenses (income)</t>
  </si>
  <si>
    <t>Cash tax</t>
  </si>
  <si>
    <t>Cost of sales</t>
  </si>
  <si>
    <t>Operating Margin</t>
  </si>
  <si>
    <t>Repayment of contingent and deferred consideration</t>
  </si>
  <si>
    <t>Payments on lease liabilites</t>
  </si>
  <si>
    <t>Interest expense on borrowings</t>
  </si>
  <si>
    <t>Other int. expense</t>
  </si>
  <si>
    <t>Other finance expense</t>
  </si>
  <si>
    <t>Total finance expense</t>
  </si>
  <si>
    <t>Other financial liabilites</t>
  </si>
  <si>
    <t>Lease liability</t>
  </si>
  <si>
    <t>Lease liability as a % of Rev.</t>
  </si>
  <si>
    <t>Lease liability as a % of PP&amp;E</t>
  </si>
  <si>
    <t>Avg remain lease life</t>
  </si>
  <si>
    <t>Net income Margin</t>
  </si>
  <si>
    <t>Revenue Growth Attributable to M&amp;A</t>
  </si>
  <si>
    <t>Product Rev.</t>
  </si>
  <si>
    <t>Service Rev.</t>
  </si>
  <si>
    <t>Total revenue</t>
  </si>
  <si>
    <t>Gross profit</t>
  </si>
  <si>
    <t>PP&amp;E D&amp;A</t>
  </si>
  <si>
    <t>ROU D&amp;A</t>
  </si>
  <si>
    <t>Intangible D&amp;A</t>
  </si>
  <si>
    <t>Other D&amp;A</t>
  </si>
  <si>
    <t>Total D&amp;A</t>
  </si>
  <si>
    <t>Opening PP&amp;E, Excl. ROU</t>
  </si>
  <si>
    <t>Ending PP&amp;E, Excl. ROU</t>
  </si>
  <si>
    <t>Opening Intangibles</t>
  </si>
  <si>
    <t>Ending Intangibles</t>
  </si>
  <si>
    <t>Capex as a % of DD&amp;A</t>
  </si>
  <si>
    <t>Organic additions</t>
  </si>
  <si>
    <t>ROU/PP&amp;E</t>
  </si>
  <si>
    <t>ROU/Revenue</t>
  </si>
  <si>
    <t>Capex as a % of D&amp;A</t>
  </si>
  <si>
    <t>SG&amp;A as a % of Rev.</t>
  </si>
  <si>
    <t>Other as a % of Rev.</t>
  </si>
  <si>
    <t>Other Non-current assets</t>
  </si>
  <si>
    <t>Other financial liabilities - Current</t>
  </si>
  <si>
    <t>Other financial liabilities - Non Current</t>
  </si>
  <si>
    <t>Deferred tax Liability</t>
  </si>
  <si>
    <t>Other - Financing</t>
  </si>
  <si>
    <t>Current/Total</t>
  </si>
  <si>
    <t>Net Trade as a % of revenue</t>
  </si>
  <si>
    <t>Other as a % of revenue</t>
  </si>
  <si>
    <t>Inventory as a % of product revenue</t>
  </si>
  <si>
    <t>PP&amp;E, excl ROU - Capex</t>
  </si>
  <si>
    <t>Intangibles - Capex</t>
  </si>
  <si>
    <t>PP&amp;E, excl ROU - Other</t>
  </si>
  <si>
    <t>Revenue/Intangibles</t>
  </si>
  <si>
    <t>Other expenses</t>
  </si>
  <si>
    <t>Adj. EBITDA Margin</t>
  </si>
  <si>
    <t>Change in fair value of contingent consideration</t>
  </si>
  <si>
    <t>Share price ($/share)</t>
  </si>
  <si>
    <t>Other CFO adj.</t>
  </si>
  <si>
    <t>General</t>
  </si>
  <si>
    <t>Specialty</t>
  </si>
  <si>
    <t>Rental Asset D&amp;A</t>
  </si>
  <si>
    <t>Non Rental D&amp;A</t>
  </si>
  <si>
    <t>Merger Related Costs</t>
  </si>
  <si>
    <t>Restructuring Charge</t>
  </si>
  <si>
    <t>General Rev. Growth, YoY</t>
  </si>
  <si>
    <t>Specialty Rev. Growth, YoY</t>
  </si>
  <si>
    <t>Other Rev. Growth, YoY</t>
  </si>
  <si>
    <t>Specialty Rev. as a % of Total</t>
  </si>
  <si>
    <t>Asset Disposals</t>
  </si>
  <si>
    <t>Additional paid-in capital</t>
  </si>
  <si>
    <t>Adj EBITDA</t>
  </si>
  <si>
    <t>D/Adj EBITDA</t>
  </si>
  <si>
    <t>Depreciation &amp; Amortization Total</t>
  </si>
  <si>
    <t>D&amp;A Rental Equipment</t>
  </si>
  <si>
    <t>Depreciation Non-Rental</t>
  </si>
  <si>
    <t>Amortization Non-Rental</t>
  </si>
  <si>
    <t>Total D&amp;A Non-Rental Equipment</t>
  </si>
  <si>
    <t>D&amp;A Rental Equipment % of Sales</t>
  </si>
  <si>
    <t>Depreciation Non-Rental % of Sales</t>
  </si>
  <si>
    <t>Amortization Non-Rental % of Sales</t>
  </si>
  <si>
    <t>Total D&amp;A Non-Rental Equipment % of Sales</t>
  </si>
  <si>
    <t>Gross Capex as % of Sales</t>
  </si>
  <si>
    <t>Asset Sales as % of Sales</t>
  </si>
  <si>
    <t>Net Capex as % of Sales</t>
  </si>
  <si>
    <t>Net Capex/Total D&amp;A</t>
  </si>
  <si>
    <t>Avg OEC</t>
  </si>
  <si>
    <t>Inflation</t>
  </si>
  <si>
    <t>Fleet Productivity</t>
  </si>
  <si>
    <t xml:space="preserve">Volume </t>
  </si>
  <si>
    <t>Price</t>
  </si>
  <si>
    <t>Ancillary &amp; Re-Rent Revenue</t>
  </si>
  <si>
    <t>Total Rental Equipment Revenue Growth</t>
  </si>
  <si>
    <t>Other Sales Growth</t>
  </si>
  <si>
    <t>Other Sales % of Total</t>
  </si>
  <si>
    <t>Total Reported Growth</t>
  </si>
  <si>
    <t>Fleet Capex</t>
  </si>
  <si>
    <t>Ending OEC</t>
  </si>
  <si>
    <t>OEC Beginning</t>
  </si>
  <si>
    <t>Average OEC</t>
  </si>
  <si>
    <t>AVG</t>
  </si>
  <si>
    <t>Notes</t>
  </si>
  <si>
    <t>Other/Disposals</t>
  </si>
  <si>
    <t>Costs</t>
  </si>
  <si>
    <t>Impact of FVM of Acquired Fleet</t>
  </si>
  <si>
    <t>AR securitization facility expiring 2022</t>
  </si>
  <si>
    <t>$3.75b ABL expiring 2024</t>
  </si>
  <si>
    <t>Term loan facility expiring 2025</t>
  </si>
  <si>
    <t>5 7/8 Senior Notes due 2026</t>
  </si>
  <si>
    <t>5 1/2 Senior Notes due 2025</t>
  </si>
  <si>
    <t>4 5/8 Senior Notes due 2025</t>
  </si>
  <si>
    <t>6 1/2 Senior Notes due 2026</t>
  </si>
  <si>
    <t>5 1/2 Senior Notes due 2027</t>
  </si>
  <si>
    <t>3 7/8 Senior Secured Notes due 2027</t>
  </si>
  <si>
    <t>4 7/8 Senior Notes due 2028</t>
  </si>
  <si>
    <t>Finance Leases</t>
  </si>
  <si>
    <t>Total Debt</t>
  </si>
  <si>
    <t>Share of Disposals on Trl 5Y Basis</t>
  </si>
  <si>
    <t>NYSE</t>
  </si>
  <si>
    <t>URI</t>
  </si>
  <si>
    <t>Implied Interest Rate</t>
  </si>
  <si>
    <t>Net Interest Expense</t>
  </si>
  <si>
    <t>Weighted Average Interest Rate %</t>
  </si>
  <si>
    <t>Other Fees</t>
  </si>
  <si>
    <t>Gain on Sales of Rental Equipment</t>
  </si>
  <si>
    <t>Proceeds from Sales of Equipment</t>
  </si>
  <si>
    <t>Implied Book Value</t>
  </si>
  <si>
    <t>P/B Sale Multiple</t>
  </si>
  <si>
    <t>2Yr Average</t>
  </si>
  <si>
    <t>Operating Lease Liability</t>
  </si>
  <si>
    <t>ROU Assets</t>
  </si>
  <si>
    <t>Revenue/PPE (x)</t>
  </si>
  <si>
    <t>Difference</t>
  </si>
  <si>
    <t>Change YoY</t>
  </si>
  <si>
    <t>Difference/2</t>
  </si>
  <si>
    <t>Asset Sales</t>
  </si>
  <si>
    <t>Target P/E</t>
  </si>
  <si>
    <t>Esimated Share Price</t>
  </si>
  <si>
    <t>Useful Life</t>
  </si>
  <si>
    <t>Salvage Value</t>
  </si>
  <si>
    <t>Revenues</t>
  </si>
  <si>
    <t>Taxes</t>
  </si>
  <si>
    <t>FCF</t>
  </si>
  <si>
    <t>IRR</t>
  </si>
  <si>
    <t>Less Taxes</t>
  </si>
  <si>
    <t>Less Change in NWC</t>
  </si>
  <si>
    <t>Less Capex</t>
  </si>
  <si>
    <t>Depreciation Per Annum</t>
  </si>
  <si>
    <t>Maintenance Capex % of Sales</t>
  </si>
  <si>
    <t>PPE Book Value</t>
  </si>
  <si>
    <t>Exit BV Multiple</t>
  </si>
  <si>
    <t>Assumptions</t>
  </si>
  <si>
    <t>Operating Lease Liabilities</t>
  </si>
  <si>
    <t xml:space="preserve">ROU D&amp;A </t>
  </si>
  <si>
    <t>Peer Comparisons</t>
  </si>
  <si>
    <t>Aggreko PLC</t>
  </si>
  <si>
    <t>H&amp;E Equipment Services Inc</t>
  </si>
  <si>
    <t>Ashtead Group PLC</t>
  </si>
  <si>
    <t>Herc Holdings Inc</t>
  </si>
  <si>
    <t>'02-21</t>
  </si>
  <si>
    <t>Half-year adjustment</t>
  </si>
  <si>
    <t>Adj. FCF Margin</t>
  </si>
  <si>
    <t>'21-31</t>
  </si>
  <si>
    <t>'22-31</t>
  </si>
  <si>
    <t>'12-21</t>
  </si>
  <si>
    <t>Locations</t>
  </si>
  <si>
    <t>Revenue Per Location</t>
  </si>
  <si>
    <t>Discount to IV</t>
  </si>
  <si>
    <t>Estimated IRR</t>
  </si>
  <si>
    <t>ROE - excl. cash</t>
  </si>
  <si>
    <t>Sources of Cashflow</t>
  </si>
  <si>
    <t>Uses of Cashflow</t>
  </si>
  <si>
    <t>%</t>
  </si>
  <si>
    <t>Total</t>
  </si>
  <si>
    <t>Share Buybacks</t>
  </si>
  <si>
    <t>Dividends</t>
  </si>
  <si>
    <t>FCF Conversion (% Adj EBITDA)</t>
  </si>
  <si>
    <t>Beta (levered)</t>
  </si>
  <si>
    <t>Segments</t>
  </si>
  <si>
    <t>Specialty Equipment Gross Profits</t>
  </si>
  <si>
    <t>Specialty GM%</t>
  </si>
  <si>
    <t>General Equipment Gross Profits</t>
  </si>
  <si>
    <t>General GM%</t>
  </si>
  <si>
    <t>Other GM%</t>
  </si>
  <si>
    <t>Other Gross Profits</t>
  </si>
  <si>
    <t>Total GM%</t>
  </si>
  <si>
    <t>Cost of Preferred Equity</t>
  </si>
  <si>
    <t>Cost of Common Equity</t>
  </si>
  <si>
    <t>Inputs</t>
  </si>
  <si>
    <t>CAGR 21-31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</si>
</sst>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2">
    <numFmt numFmtId="8" formatCode="&quot;$&quot;#,##0.00_);[Red]\(&quot;$&quot;#,##0.00\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0.0\x"/>
    <numFmt numFmtId="172" formatCode="0.0%"/>
    <numFmt numFmtId="173" formatCode="&quot;$&quot;#,##0.00"/>
    <numFmt numFmtId="174" formatCode=";;;"/>
    <numFmt numFmtId="175" formatCode="yy\-mm\-dd;@"/>
    <numFmt numFmtId="176" formatCode="&quot;$&quot;#,##0"/>
    <numFmt numFmtId="177" formatCode="#,##0.000"/>
    <numFmt numFmtId="178" formatCode="0.0000"/>
    <numFmt numFmtId="179" formatCode="#,##0.0"/>
    <numFmt numFmtId="180" formatCode="0.0"/>
    <numFmt numFmtId="181" formatCode="_(* #,##0_);_(* \(#,##0\);_(* &quot;-&quot;??_);_(@_)"/>
    <numFmt numFmtId="182" formatCode="#,##0;\(#,##0\);\-"/>
    <numFmt numFmtId="183" formatCode="#,##0.0\ ;\(#,##0.0\)"/>
    <numFmt numFmtId="184" formatCode="#,##0,;;;&quot;$K&quot;"/>
    <numFmt numFmtId="185" formatCode="_ * #,##0.00_ ;_ * \-#,##0.00_ ;_ * &quot;-&quot;??_ ;_ @_ "/>
    <numFmt numFmtId="186" formatCode="#,##0.0_);\(#,##0.0\);0_._0_)"/>
    <numFmt numFmtId="187" formatCode="0.0_)\%;\(0.0\)\%;0.0_)\%;@_)_%"/>
    <numFmt numFmtId="188" formatCode="#,##0.0_)_%;\(#,##0.0\)_%;0.0_)_%;@_)_%"/>
    <numFmt numFmtId="189" formatCode="#,##0.0_);\(#,##0.0\);#,##0.0_);@_)"/>
    <numFmt numFmtId="190" formatCode="dd\-mmm\-yy_)"/>
    <numFmt numFmtId="191" formatCode="#,##0.0_);\(#,##0.0\)"/>
    <numFmt numFmtId="192" formatCode="&quot;$&quot;_(#,##0.00_);&quot;$&quot;\(#,##0.00\);&quot;$&quot;_(0.00_);@_)"/>
    <numFmt numFmtId="193" formatCode="&quot;$&quot;_(#,##0.00_);&quot;$&quot;\(#,##0.00\)"/>
    <numFmt numFmtId="194" formatCode="&quot;$&quot;#,##0.000_);[Red]\(&quot;$&quot;#,##0.000\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0.0_)"/>
    <numFmt numFmtId="199" formatCode="\€_(#,##0.00_);\€\(#,##0.00\);\€_(0.00_);@_)"/>
    <numFmt numFmtId="200" formatCode="0.00_)"/>
    <numFmt numFmtId="201" formatCode="#,##0_)\x;\(#,##0\)\x;0_)\x;@_)_x"/>
    <numFmt numFmtId="202" formatCode="#,##0.0_)\x;\(#,##0.0\)\x;0.0_)\x;@_)_x"/>
    <numFmt numFmtId="203" formatCode="#,##0.0_)\x;\(#,##0.0\)\x"/>
    <numFmt numFmtId="204" formatCode="&quot;$&quot;#,##0.0000_);[Red]\(&quot;$&quot;#,##0.0000\)"/>
    <numFmt numFmtId="205" formatCode="#,##0_)_x;\(#,##0\)_x;0_)_x;@_)_x"/>
    <numFmt numFmtId="206" formatCode="#,##0.0_)_x;\(#,##0.0\)_x;0.0_)_x;@_)_x"/>
    <numFmt numFmtId="207" formatCode="#,##0.0_)_x;\(#,##0.0\)_x"/>
    <numFmt numFmtId="208" formatCode="&quot;$&quot;#,##0.0_);[Red]\(&quot;$&quot;#,##0.0\)"/>
    <numFmt numFmtId="209" formatCode="0.0_)\%;\(0.0\)\%"/>
    <numFmt numFmtId="210" formatCode="#,##0.000_);\(#,##0.000\)"/>
    <numFmt numFmtId="211" formatCode="#,##0.0_)_%;\(#,##0.0\)_%"/>
    <numFmt numFmtId="212" formatCode="&quot;!&quot;#,##0_);\(&quot;!&quot;#,##0\)"/>
    <numFmt numFmtId="213" formatCode="_(* #,##0_);_(* \(#,##0\);_(* &quot; - &quot;_);_(@_)"/>
    <numFmt numFmtId="214" formatCode="#,##0,\ ;[Red]\(#,##0,\);&quot;&quot;"/>
    <numFmt numFmtId="215" formatCode="#,##0,_$;\-#,##0,_$"/>
    <numFmt numFmtId="216" formatCode="#,##0;\-#,##0;&quot;-&quot;"/>
    <numFmt numFmtId="217" formatCode="0.00000000%"/>
    <numFmt numFmtId="218" formatCode="0.0&quot;  &quot;"/>
    <numFmt numFmtId="219" formatCode="0.000&quot;  &quot;"/>
    <numFmt numFmtId="220" formatCode="0.0000&quot;  &quot;"/>
    <numFmt numFmtId="221" formatCode="0.00000&quot;  &quot;"/>
    <numFmt numFmtId="222" formatCode="0%;\(0%\)"/>
    <numFmt numFmtId="223" formatCode="0.00&quot;  &quot;"/>
    <numFmt numFmtId="224" formatCode="#,##0\ ;[Red]\(#,##0\)"/>
    <numFmt numFmtId="225" formatCode="[$-409]mmmm\ d\,\ yyyy;@"/>
    <numFmt numFmtId="226" formatCode="#,##0.00\ &quot;F&quot;;[Red]\-#,##0.00\ &quot;F&quot;"/>
    <numFmt numFmtId="227" formatCode="&quot;$&quot;#,##0.0_);\(&quot;$&quot;#,##0.0\)"/>
    <numFmt numFmtId="228" formatCode="_(&quot;$&quot;* #,##0.0_);_(&quot;$&quot;* \(#,##0.0\);_(&quot;$&quot;* &quot;-&quot;??_);_(@_)"/>
    <numFmt numFmtId="229" formatCode="_-* #,##0.0\ _F_-;\-* #,##0.0\ _F_-;_-* \-?\ _F_-;_-@_-"/>
    <numFmt numFmtId="230" formatCode="&quot;\&quot;#,##0;&quot;\&quot;&quot;\&quot;&quot;\&quot;&quot;\&quot;\-#,##0"/>
    <numFmt numFmtId="231" formatCode="&quot;$&quot;#,##0\ ;\(&quot;$&quot;#,##0\)"/>
    <numFmt numFmtId="232" formatCode="0.00000"/>
    <numFmt numFmtId="233" formatCode="_(* #,##0_);_(* \(#,##0\);_(* &quot;0&quot;??_);_(@_)"/>
    <numFmt numFmtId="234" formatCode="#,##0;\(#,##0\)"/>
    <numFmt numFmtId="235" formatCode="#,##0.00000"/>
    <numFmt numFmtId="236" formatCode="#,##0.0;\(#,##0.0\)"/>
    <numFmt numFmtId="237" formatCode="mmm\-d\-yyyy"/>
    <numFmt numFmtId="238" formatCode="_(* #,##0_);_(* \(#,##0\);_(* &quot;&quot;\ \-\ &quot;&quot;_);_(@_)"/>
    <numFmt numFmtId="239" formatCode="_(* #,##0_);[Red]_(* \(#,##0\);_(* &quot;&quot;\ \-\ &quot;&quot;_);_(@_)"/>
    <numFmt numFmtId="240" formatCode="#,##0,_$;[Red]\-#,##0,_$"/>
    <numFmt numFmtId="241" formatCode="#,##0.00,_$;[Red]\-#,##0.00,_$"/>
    <numFmt numFmtId="242" formatCode="_(* #,###.00_);_(* \(#,###.00\);_(* &quot;-&quot;??_);_(@_)"/>
    <numFmt numFmtId="243" formatCode="_(&quot;$&quot;* \ #,##0.00_);_(&quot;$&quot;* \ \(#,##0.00\);_(&quot;$&quot;* \ &quot;-&quot;??_);_(@_)"/>
    <numFmt numFmtId="244" formatCode="_(&quot;$&quot;* #,##0,_);_(&quot;$&quot;* \(#,##0,\);_(&quot;$&quot;* &quot;-&quot;_);_(@_)"/>
    <numFmt numFmtId="245" formatCode="_([$€]* #,##0.00_);_([$€]* \(#,##0.00\);_([$€]* &quot;-&quot;??_);_(@_)"/>
    <numFmt numFmtId="246" formatCode="_-* #,##0.00\ [$€]_-;\-* #,##0.00\ [$€]_-;_-* &quot;-&quot;??\ [$€]_-;_-@_-"/>
    <numFmt numFmtId="247" formatCode="_-* #,##0.00\ &quot;€&quot;_-;\-* #,##0.00\ &quot;€&quot;_-;_-* &quot;-&quot;??\ &quot;€&quot;_-;_-@_-"/>
    <numFmt numFmtId="248" formatCode="\$#,##0_);[Red]&quot;($&quot;#,##0\)"/>
    <numFmt numFmtId="249" formatCode="#,##0,,,\ ;;;&quot;Gb/s&quot;"/>
    <numFmt numFmtId="250" formatCode="&quot;$&quot;#,##0,_);\(&quot;$&quot;#,##0\)"/>
    <numFmt numFmtId="251" formatCode="0;;"/>
    <numFmt numFmtId="252" formatCode="_-* #,##0.00\ &quot;DM&quot;_-;\-* #,##0.00\ &quot;DM&quot;_-;_-* &quot;-&quot;??\ &quot;DM&quot;_-;_-@_-"/>
    <numFmt numFmtId="253" formatCode="#,##0.0_);[Red]\(#,##0.0\)"/>
    <numFmt numFmtId="254" formatCode="#,##0.000%_);[Red]\(#,##0.000%\)"/>
    <numFmt numFmtId="255" formatCode="mm/dd/yy;;;"/>
    <numFmt numFmtId="256" formatCode="#,##0,;;;&quot;Kb/s&quot;"/>
    <numFmt numFmtId="257" formatCode="#,##0,,;;;&quot;Mb/s&quot;"/>
    <numFmt numFmtId="258" formatCode="_-* #,##0\ _D_M_-;\-* #,##0\ _D_M_-;_-* &quot;-&quot;\ _D_M_-;_-@_-"/>
    <numFmt numFmtId="259" formatCode="_-* #,##0.00\ _D_M_-;\-* #,##0.00\ _D_M_-;_-* &quot;-&quot;??\ _D_M_-;_-@_-"/>
    <numFmt numFmtId="260" formatCode="&quot;$&quot;0.000"/>
    <numFmt numFmtId="261" formatCode="_-* #,##0\ &quot;DM&quot;_-;\-* #,##0\ &quot;DM&quot;_-;_-* &quot;-&quot;\ &quot;DM&quot;_-;_-@_-"/>
    <numFmt numFmtId="262" formatCode="_-&quot;£&quot;* #,##0.00_-;\-&quot;£&quot;* #,##0.00_-;_-&quot;£&quot;* &quot;-&quot;??_-;_-@_-"/>
    <numFmt numFmtId="263" formatCode="0.0;\(0.0\)"/>
    <numFmt numFmtId="264" formatCode="#,##0.0_);[Red]\(#,##0.0\);&quot;N/A &quot;"/>
    <numFmt numFmtId="265" formatCode="###0.0_x;\(###0.0\)_x"/>
    <numFmt numFmtId="266" formatCode="\$#,##0_);&quot;($&quot;#,##0\)"/>
    <numFmt numFmtId="267" formatCode="#,##0.0%_);\(#,##0.0&quot;%)&quot;"/>
    <numFmt numFmtId="268" formatCode="#,##0.0,,_);\(#,##0.0,,\);\-_)"/>
    <numFmt numFmtId="269" formatCode="#,##0_);\(#,##0\);\-_)"/>
    <numFmt numFmtId="270" formatCode="_-* #,##0.000000_-;\-* #,##0.000000_-;_-* \-??_-;_-@_-"/>
    <numFmt numFmtId="271" formatCode="#,##0.0,_);\(#,##0.0,\);\-_)"/>
    <numFmt numFmtId="272" formatCode="#,##0.00_);\(#,##0.00\);\-_)"/>
    <numFmt numFmtId="273" formatCode="0.0%&quot;NetPPE/sales&quot;"/>
    <numFmt numFmtId="274" formatCode="#,##0&quot; &quot;\ &quot; &quot;;[Red]\(#,##0\)\ &quot; &quot;;&quot;—&quot;&quot; &quot;&quot; &quot;&quot; &quot;&quot; &quot;"/>
    <numFmt numFmtId="275" formatCode="0.0%&quot;NWI/Sls&quot;"/>
    <numFmt numFmtId="276" formatCode="_(\$* #,##0.00_);_(\$* \(#,##0.00\);_(\$* \-??_);_(@_)"/>
    <numFmt numFmtId="277" formatCode="mmmm\ dd\,\ yyyy"/>
    <numFmt numFmtId="278" formatCode="0.000000000"/>
    <numFmt numFmtId="279" formatCode="_(* #,##0_);_(* \(#,##0\);_(* \-_);_(@_)"/>
    <numFmt numFmtId="280" formatCode="0.000000"/>
    <numFmt numFmtId="281" formatCode="0.0%&quot;Sales&quot;"/>
    <numFmt numFmtId="282" formatCode="0.0%_);\(0.0%\)"/>
    <numFmt numFmtId="283" formatCode="mm/dd/yy"/>
    <numFmt numFmtId="284" formatCode="#,##0.0\ ;[Red]\-#,##0.0\ "/>
    <numFmt numFmtId="285" formatCode="0.0000000000000"/>
    <numFmt numFmtId="286" formatCode="0.0%;[Red]\(0.0%\);&quot; &quot;"/>
    <numFmt numFmtId="287" formatCode="_-* #,##0.000_-;\-* #,##0.000_-;_-* &quot;-&quot;??_-;_-@_-"/>
    <numFmt numFmtId="288" formatCode="&quot;TFCF: &quot;#,##0_);[Red]&quot;No! &quot;\(#,##0\)"/>
    <numFmt numFmtId="289" formatCode="_(* #,##0,_);[Red]_(* \(#,##0,\);_(* 0_);_(@_)"/>
    <numFmt numFmtId="290" formatCode="_(* #,##0_);[Red]_(* \(#,##0\);_(* 0_);_(@_)"/>
    <numFmt numFmtId="291" formatCode="_-* #,##0\ _B_F_-;\-* #,##0\ _B_F_-;_-* &quot;-&quot;\ _B_F_-;_-@_-"/>
    <numFmt numFmtId="292" formatCode="_-* #,##0.00\ _B_F_-;\-* #,##0.00\ _B_F_-;_-* &quot;-&quot;??\ _B_F_-;_-@_-"/>
    <numFmt numFmtId="293" formatCode="&quot;\&quot;#,##0;[Red]&quot;\&quot;&quot;\&quot;\-#,##0"/>
    <numFmt numFmtId="294" formatCode="&quot;\&quot;#,##0.00;[Red]&quot;\&quot;&quot;\&quot;&quot;\&quot;&quot;\&quot;&quot;\&quot;&quot;\&quot;\-#,##0.00"/>
    <numFmt numFmtId="295" formatCode="&quot;\&quot;#,##0;[Red]&quot;\&quot;\-#,##0"/>
    <numFmt numFmtId="296" formatCode="_-* #,##0\ &quot;BF&quot;_-;\-* #,##0\ &quot;BF&quot;_-;_-* &quot;-&quot;\ &quot;BF&quot;_-;_-@_-"/>
    <numFmt numFmtId="297" formatCode="_-* #,##0.00\ &quot;BF&quot;_-;\-* #,##0.00\ &quot;BF&quot;_-;_-* &quot;-&quot;??\ &quot;BF&quot;_-;_-@_-"/>
    <numFmt numFmtId="298" formatCode="0.00\x"/>
    <numFmt numFmtId="299" formatCode="0.000"/>
    <numFmt numFmtId="300" formatCode="0.000%"/>
    <numFmt numFmtId="301" formatCode="&quot;$&quot;#,##0.0"/>
    <numFmt numFmtId="302" formatCode="_(* #,##0.0_);_(* \(#,##0.0\);_(* &quot;-&quot;??_);_(@_)"/>
    <numFmt numFmtId="303" formatCode="0.0000000000000000%"/>
  </numFmts>
  <fonts count="28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Trebuchet MS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sz val="10"/>
      <color indexed="12"/>
      <name val="Arial"/>
      <family val="2"/>
    </font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name val="Helvetica-Narrow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AngsanaUPC"/>
      <family val="1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color indexed="8"/>
      <name val="宋体"/>
      <charset val="134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1"/>
      <color indexed="9"/>
      <name val="宋体"/>
      <charset val="134"/>
    </font>
    <font>
      <sz val="12"/>
      <color indexed="9"/>
      <name val="新細明體"/>
      <family val="1"/>
      <charset val="136"/>
    </font>
    <font>
      <sz val="8"/>
      <name val="Tahoma"/>
      <family val="2"/>
    </font>
    <font>
      <sz val="10"/>
      <name val="TimesNewRomanPS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color indexed="9"/>
      <name val="Univers (WN)"/>
      <family val="2"/>
    </font>
    <font>
      <b/>
      <sz val="14"/>
      <name val="Univers (WN)"/>
    </font>
    <font>
      <i/>
      <sz val="14"/>
      <color indexed="8"/>
      <name val="Arial"/>
      <family val="2"/>
    </font>
    <font>
      <b/>
      <i/>
      <u/>
      <sz val="14"/>
      <name val="Arial"/>
      <family val="2"/>
    </font>
    <font>
      <b/>
      <sz val="12"/>
      <color indexed="8"/>
      <name val="Times New Roman"/>
      <family val="1"/>
    </font>
    <font>
      <sz val="10"/>
      <name val="Century Gothic"/>
      <family val="2"/>
    </font>
    <font>
      <i/>
      <sz val="12"/>
      <color indexed="8"/>
      <name val="Arial"/>
      <family val="2"/>
    </font>
    <font>
      <sz val="8"/>
      <name val="Verdana"/>
      <family val="2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i/>
      <sz val="10"/>
      <name val="Arial"/>
      <family val="2"/>
    </font>
    <font>
      <b/>
      <sz val="10"/>
      <color indexed="9"/>
      <name val="Times New Roman"/>
      <family val="2"/>
    </font>
    <font>
      <sz val="10"/>
      <color indexed="8"/>
      <name val="ARIAL"/>
      <family val="2"/>
      <charset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color indexed="12"/>
      <name val="Helv"/>
    </font>
    <font>
      <sz val="10"/>
      <name val="MS Serif"/>
      <family val="1"/>
    </font>
    <font>
      <sz val="9"/>
      <name val="Helv"/>
    </font>
    <font>
      <sz val="11"/>
      <color indexed="12"/>
      <name val="Book Antiqua"/>
      <family val="1"/>
    </font>
    <font>
      <sz val="11"/>
      <name val="돋움"/>
      <family val="1"/>
      <charset val="136"/>
    </font>
    <font>
      <b/>
      <sz val="9"/>
      <color indexed="9"/>
      <name val="Arial"/>
      <family val="2"/>
    </font>
    <font>
      <sz val="8"/>
      <name val="MS Sans Serif"/>
      <family val="2"/>
    </font>
    <font>
      <sz val="8"/>
      <color indexed="18"/>
      <name val="Comic Sans MS"/>
      <family val="4"/>
    </font>
    <font>
      <b/>
      <sz val="8"/>
      <name val="Arial"/>
      <family val="2"/>
    </font>
    <font>
      <b/>
      <sz val="10"/>
      <name val="Tms Rmn"/>
    </font>
    <font>
      <sz val="10"/>
      <name val="Geneva"/>
      <family val="2"/>
    </font>
    <font>
      <sz val="10"/>
      <color indexed="18"/>
      <name val="Arial"/>
      <family val="2"/>
    </font>
    <font>
      <b/>
      <u/>
      <sz val="8"/>
      <name val="Arial"/>
      <family val="2"/>
    </font>
    <font>
      <sz val="1.25"/>
      <name val="Arial"/>
      <family val="2"/>
    </font>
    <font>
      <b/>
      <u val="double"/>
      <sz val="9"/>
      <name val="Arial"/>
      <family val="2"/>
    </font>
    <font>
      <u val="doubleAccounting"/>
      <sz val="10"/>
      <name val="Arial"/>
      <family val="2"/>
    </font>
    <font>
      <sz val="10"/>
      <name val="Univers"/>
      <family val="2"/>
    </font>
    <font>
      <sz val="10"/>
      <color indexed="16"/>
      <name val="MS Serif"/>
      <family val="1"/>
    </font>
    <font>
      <b/>
      <u/>
      <sz val="12"/>
      <name val="Arial Narrow"/>
      <family val="2"/>
    </font>
    <font>
      <sz val="10"/>
      <name val="Helvetica 45 Light"/>
    </font>
    <font>
      <i/>
      <sz val="11"/>
      <color indexed="23"/>
      <name val="Calibri"/>
      <family val="2"/>
    </font>
    <font>
      <b/>
      <sz val="7"/>
      <color indexed="12"/>
      <name val="Arial"/>
      <family val="2"/>
    </font>
    <font>
      <sz val="7"/>
      <name val="Palatino"/>
      <family val="1"/>
    </font>
    <font>
      <b/>
      <sz val="8"/>
      <name val="Helv"/>
    </font>
    <font>
      <sz val="9"/>
      <name val="Geneva"/>
      <family val="2"/>
    </font>
    <font>
      <sz val="11"/>
      <color indexed="17"/>
      <name val="Calibri"/>
      <family val="2"/>
    </font>
    <font>
      <b/>
      <sz val="10"/>
      <color indexed="58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u/>
      <sz val="18"/>
      <name val="Geneva"/>
      <family val="2"/>
    </font>
    <font>
      <b/>
      <sz val="15"/>
      <color indexed="62"/>
      <name val="Calibri"/>
      <family val="2"/>
    </font>
    <font>
      <b/>
      <sz val="14"/>
      <name val="Univers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sz val="18"/>
      <name val="Helvetica-Black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0"/>
      <name val="Geneva"/>
      <family val="2"/>
    </font>
    <font>
      <b/>
      <sz val="10"/>
      <name val="Univers"/>
      <family val="2"/>
    </font>
    <font>
      <b/>
      <sz val="8"/>
      <name val="MS Sans Serif"/>
      <family val="2"/>
    </font>
    <font>
      <b/>
      <sz val="9"/>
      <name val="Helv"/>
    </font>
    <font>
      <sz val="10"/>
      <color indexed="9"/>
      <name val="Arial"/>
      <family val="2"/>
    </font>
    <font>
      <b/>
      <sz val="10.75"/>
      <name val="Arial"/>
      <family val="2"/>
    </font>
    <font>
      <b/>
      <i/>
      <sz val="20"/>
      <name val="Century Gothic"/>
      <family val="2"/>
    </font>
    <font>
      <sz val="9"/>
      <color indexed="17"/>
      <name val="Helv"/>
    </font>
    <font>
      <sz val="11"/>
      <color indexed="62"/>
      <name val="Calibri"/>
      <family val="2"/>
    </font>
    <font>
      <b/>
      <u/>
      <sz val="10"/>
      <color indexed="12"/>
      <name val="Times New Roman"/>
      <family val="1"/>
    </font>
    <font>
      <sz val="8"/>
      <color indexed="39"/>
      <name val="Arial"/>
      <family val="2"/>
    </font>
    <font>
      <sz val="8"/>
      <color indexed="12"/>
      <name val="Tahoma"/>
      <family val="2"/>
    </font>
    <font>
      <sz val="1"/>
      <color indexed="9"/>
      <name val="Symbol"/>
      <family val="1"/>
      <charset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b/>
      <u val="singleAccounting"/>
      <sz val="9"/>
      <color indexed="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Tahoma"/>
      <family val="2"/>
    </font>
    <font>
      <sz val="10"/>
      <name val="Arial CE"/>
    </font>
    <font>
      <sz val="10"/>
      <name val="Palatino"/>
      <family val="1"/>
    </font>
    <font>
      <i/>
      <sz val="10"/>
      <name val="Arial"/>
      <family val="2"/>
    </font>
    <font>
      <sz val="7"/>
      <color indexed="12"/>
      <name val="Arial"/>
      <family val="2"/>
    </font>
    <font>
      <i/>
      <sz val="10"/>
      <name val="Helv"/>
    </font>
    <font>
      <sz val="11"/>
      <name val="Times New Roman"/>
      <family val="1"/>
    </font>
    <font>
      <sz val="24"/>
      <name val="MS Sans Serif"/>
      <family val="2"/>
    </font>
    <font>
      <sz val="8"/>
      <color indexed="32"/>
      <name val="Comic Sans MS"/>
      <family val="4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8"/>
      <color indexed="18"/>
      <name val="Arial"/>
      <family val="2"/>
    </font>
    <font>
      <b/>
      <u/>
      <sz val="10"/>
      <name val="Arial"/>
      <family val="2"/>
    </font>
    <font>
      <sz val="7"/>
      <color indexed="10"/>
      <name val="MS Sans Serif"/>
      <family val="2"/>
    </font>
    <font>
      <sz val="10"/>
      <name val="Tms Rmn"/>
      <family val="1"/>
    </font>
    <font>
      <sz val="10"/>
      <name val="Tms Rmn"/>
    </font>
    <font>
      <sz val="16"/>
      <color indexed="9"/>
      <name val="Tahoma"/>
      <family val="2"/>
    </font>
    <font>
      <sz val="9"/>
      <color indexed="8"/>
      <name val="Helv"/>
    </font>
    <font>
      <sz val="8"/>
      <color indexed="10"/>
      <name val="Arial"/>
      <family val="2"/>
    </font>
    <font>
      <sz val="9"/>
      <color indexed="20"/>
      <name val="Helv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  <family val="2"/>
    </font>
    <font>
      <sz val="8"/>
      <name val="Helv"/>
    </font>
    <font>
      <sz val="8"/>
      <name val="COUR"/>
    </font>
    <font>
      <sz val="8"/>
      <color indexed="8"/>
      <name val="Arial"/>
      <family val="2"/>
    </font>
    <font>
      <sz val="11"/>
      <color indexed="16"/>
      <name val="Arial"/>
      <family val="2"/>
    </font>
    <font>
      <sz val="9.5"/>
      <color indexed="23"/>
      <name val="Helvetica-Black"/>
    </font>
    <font>
      <b/>
      <sz val="8"/>
      <color indexed="9"/>
      <name val="Verdana"/>
      <family val="2"/>
    </font>
    <font>
      <sz val="10"/>
      <color indexed="8"/>
      <name val="Geneva"/>
      <family val="2"/>
    </font>
    <font>
      <sz val="9"/>
      <color indexed="18"/>
      <name val="Wingdings"/>
      <charset val="2"/>
    </font>
    <font>
      <sz val="10"/>
      <name val="ACaslon Regular"/>
    </font>
    <font>
      <b/>
      <i/>
      <sz val="14"/>
      <name val="Arial"/>
      <family val="2"/>
    </font>
    <font>
      <b/>
      <sz val="11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63"/>
      <name val="Verdana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Tahoma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3"/>
      <name val="Century Gothic"/>
      <family val="2"/>
    </font>
    <font>
      <b/>
      <sz val="10"/>
      <color indexed="8"/>
      <name val="Times New Roman"/>
      <family val="2"/>
    </font>
    <font>
      <sz val="8"/>
      <color indexed="36"/>
      <name val="Comic Sans MS"/>
      <family val="4"/>
    </font>
    <font>
      <sz val="18"/>
      <name val="Arial"/>
      <family val="2"/>
    </font>
    <font>
      <sz val="2.25"/>
      <name val="Arial"/>
      <family val="2"/>
    </font>
    <font>
      <sz val="8"/>
      <color indexed="8"/>
      <name val="Wingdings"/>
      <charset val="2"/>
    </font>
    <font>
      <sz val="8"/>
      <color indexed="9"/>
      <name val="Tahoma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sz val="12"/>
      <name val="바탕체"/>
      <family val="1"/>
      <charset val="129"/>
    </font>
    <font>
      <sz val="12"/>
      <name val="뼻뮝"/>
      <family val="1"/>
    </font>
    <font>
      <sz val="12"/>
      <color indexed="60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굴림체"/>
      <family val="3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color indexed="52"/>
      <name val="新細明體"/>
      <family val="1"/>
      <charset val="136"/>
    </font>
    <font>
      <sz val="11"/>
      <color indexed="52"/>
      <name val="宋体"/>
      <charset val="134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9"/>
      <color indexed="8"/>
      <name val="Tahoma"/>
      <family val="2"/>
    </font>
    <font>
      <i/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/>
      <bottom style="thin">
        <color indexed="64"/>
      </bottom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388">
    <xf numFmtId="0" fontId="0" fillId="0" borderId="0"/>
    <xf numFmtId="0" fontId="10" fillId="3" borderId="0"/>
    <xf numFmtId="43" fontId="11" fillId="0" borderId="0" applyFont="0" applyFill="0" applyBorder="0" applyAlignment="0" applyProtection="0"/>
    <xf numFmtId="0" fontId="12" fillId="3" borderId="6">
      <alignment horizontal="right"/>
    </xf>
    <xf numFmtId="0" fontId="11" fillId="0" borderId="0"/>
    <xf numFmtId="0" fontId="13" fillId="0" borderId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9" fontId="45" fillId="0" borderId="0">
      <alignment horizontal="right"/>
    </xf>
    <xf numFmtId="0" fontId="11" fillId="0" borderId="0"/>
    <xf numFmtId="0" fontId="42" fillId="0" borderId="0"/>
    <xf numFmtId="0" fontId="46" fillId="0" borderId="0"/>
    <xf numFmtId="3" fontId="11" fillId="0" borderId="0"/>
    <xf numFmtId="183" fontId="23" fillId="0" borderId="0"/>
    <xf numFmtId="184" fontId="47" fillId="0" borderId="0">
      <alignment horizontal="right"/>
    </xf>
    <xf numFmtId="0" fontId="11" fillId="0" borderId="0"/>
    <xf numFmtId="0" fontId="48" fillId="0" borderId="0"/>
    <xf numFmtId="0" fontId="11" fillId="0" borderId="0">
      <alignment vertical="top"/>
    </xf>
    <xf numFmtId="0" fontId="49" fillId="0" borderId="0"/>
    <xf numFmtId="18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1" fillId="0" borderId="0"/>
    <xf numFmtId="186" fontId="43" fillId="0" borderId="0"/>
    <xf numFmtId="187" fontId="11" fillId="0" borderId="0" applyFont="0" applyFill="0" applyBorder="0" applyAlignment="0" applyProtection="0"/>
    <xf numFmtId="172" fontId="50" fillId="0" borderId="0" applyFont="0" applyFill="0" applyBorder="0" applyAlignment="0" applyProtection="0"/>
    <xf numFmtId="188" fontId="11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50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50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50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33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50" fillId="0" borderId="0" applyFont="0" applyFill="0" applyBorder="0" applyAlignment="0" applyProtection="0"/>
    <xf numFmtId="19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50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50" fillId="0" borderId="0" applyFont="0" applyFill="0" applyBorder="0" applyAlignment="0" applyProtection="0"/>
    <xf numFmtId="191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9" fontId="11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50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50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50" fillId="0" borderId="0" applyFont="0" applyFill="0" applyBorder="0" applyAlignment="0" applyProtection="0"/>
    <xf numFmtId="202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Protection="0">
      <alignment horizontal="right"/>
    </xf>
    <xf numFmtId="180" fontId="50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50" fillId="0" borderId="0" applyFont="0" applyFill="0" applyBorder="0" applyAlignment="0" applyProtection="0"/>
    <xf numFmtId="207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50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50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50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50" fillId="0" borderId="0" applyFont="0" applyFill="0" applyBorder="0" applyAlignment="0" applyProtection="0"/>
    <xf numFmtId="206" fontId="11" fillId="0" borderId="0" applyFont="0" applyFill="0" applyBorder="0" applyAlignment="0" applyProtection="0"/>
    <xf numFmtId="202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9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210" fontId="50" fillId="0" borderId="0" applyFont="0" applyFill="0" applyBorder="0" applyAlignment="0" applyProtection="0"/>
    <xf numFmtId="187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212" fontId="50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Alignment="0" applyProtection="0">
      <alignment vertical="top"/>
    </xf>
    <xf numFmtId="0" fontId="52" fillId="0" borderId="0" applyNumberFormat="0" applyFill="0" applyBorder="0" applyProtection="0">
      <alignment vertical="top"/>
    </xf>
    <xf numFmtId="0" fontId="30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35" applyNumberFormat="0" applyFill="0" applyAlignment="0" applyProtection="0"/>
    <xf numFmtId="0" fontId="53" fillId="0" borderId="36" applyNumberFormat="0" applyFill="0" applyProtection="0">
      <alignment horizontal="center"/>
    </xf>
    <xf numFmtId="0" fontId="53" fillId="0" borderId="36" applyNumberFormat="0" applyFill="0" applyProtection="0">
      <alignment horizontal="center"/>
    </xf>
    <xf numFmtId="0" fontId="53" fillId="0" borderId="36" applyNumberFormat="0" applyFill="0" applyProtection="0">
      <alignment horizontal="center"/>
    </xf>
    <xf numFmtId="0" fontId="53" fillId="0" borderId="36" applyNumberFormat="0" applyFill="0" applyProtection="0">
      <alignment horizontal="center"/>
    </xf>
    <xf numFmtId="0" fontId="53" fillId="0" borderId="36" applyNumberFormat="0" applyFill="0" applyProtection="0">
      <alignment horizontal="center"/>
    </xf>
    <xf numFmtId="0" fontId="53" fillId="0" borderId="36" applyNumberFormat="0" applyFill="0" applyProtection="0">
      <alignment horizontal="center"/>
    </xf>
    <xf numFmtId="0" fontId="11" fillId="0" borderId="37" applyNumberFormat="0" applyFont="0" applyFill="0" applyAlignment="0" applyProtection="0"/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5" fillId="0" borderId="0"/>
    <xf numFmtId="0" fontId="56" fillId="0" borderId="0"/>
    <xf numFmtId="0" fontId="48" fillId="0" borderId="0"/>
    <xf numFmtId="213" fontId="30" fillId="0" borderId="0">
      <alignment horizontal="right" vertical="top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7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7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7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2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58" fillId="2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1" fillId="31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2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33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1" fillId="34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1" fillId="35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6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1" fillId="37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38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1" fillId="3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40" borderId="0" applyNumberFormat="0" applyBorder="0" applyAlignment="0" applyProtection="0"/>
    <xf numFmtId="0" fontId="62" fillId="32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9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1" fillId="5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51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52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53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53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53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53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53" borderId="0" applyNumberFormat="0" applyBorder="0" applyAlignment="0" applyProtection="0"/>
    <xf numFmtId="168" fontId="11" fillId="0" borderId="0"/>
    <xf numFmtId="214" fontId="25" fillId="22" borderId="38">
      <alignment horizontal="center"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215" fontId="64" fillId="7" borderId="39" applyProtection="0">
      <alignment vertical="center"/>
    </xf>
    <xf numFmtId="0" fontId="11" fillId="0" borderId="0">
      <alignment horizontal="center" wrapText="1"/>
      <protection locked="0"/>
    </xf>
    <xf numFmtId="0" fontId="42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11" fillId="54" borderId="0"/>
    <xf numFmtId="0" fontId="65" fillId="0" borderId="4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37" fillId="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3" fontId="68" fillId="55" borderId="0">
      <alignment horizontal="center" vertical="justify"/>
    </xf>
    <xf numFmtId="3" fontId="69" fillId="56" borderId="41">
      <alignment horizontal="center"/>
    </xf>
    <xf numFmtId="0" fontId="26" fillId="0" borderId="28" applyNumberFormat="0" applyFont="0" applyAlignment="0" applyProtection="0"/>
    <xf numFmtId="0" fontId="12" fillId="54" borderId="42">
      <alignment horizontal="center" vertical="center"/>
    </xf>
    <xf numFmtId="0" fontId="12" fillId="54" borderId="43">
      <alignment horizontal="center"/>
    </xf>
    <xf numFmtId="182" fontId="70" fillId="23" borderId="44">
      <alignment horizontal="center" vertical="center" wrapText="1"/>
    </xf>
    <xf numFmtId="0" fontId="71" fillId="0" borderId="0">
      <alignment vertical="center"/>
    </xf>
    <xf numFmtId="182" fontId="72" fillId="23" borderId="44">
      <alignment horizontal="left" vertical="center" wrapText="1"/>
    </xf>
    <xf numFmtId="0" fontId="73" fillId="23" borderId="0">
      <alignment horizontal="center"/>
    </xf>
    <xf numFmtId="182" fontId="74" fillId="23" borderId="44">
      <alignment horizontal="center" vertical="center" wrapTex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0" fontId="75" fillId="47" borderId="0">
      <alignment horizontal="left" vertical="center" indent="1"/>
    </xf>
    <xf numFmtId="164" fontId="76" fillId="0" borderId="1" applyAlignment="0" applyProtection="0"/>
    <xf numFmtId="0" fontId="42" fillId="0" borderId="28" applyNumberFormat="0" applyFont="0" applyFill="0" applyAlignment="0" applyProtection="0"/>
    <xf numFmtId="0" fontId="42" fillId="0" borderId="45" applyNumberFormat="0" applyFont="0" applyFill="0" applyAlignment="0" applyProtection="0"/>
    <xf numFmtId="0" fontId="77" fillId="0" borderId="0" applyFont="0" applyFill="0" applyBorder="0" applyAlignment="0" applyProtection="0"/>
    <xf numFmtId="216" fontId="78" fillId="0" borderId="0" applyFill="0" applyBorder="0" applyAlignment="0"/>
    <xf numFmtId="216" fontId="78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0" fontId="11" fillId="0" borderId="0" applyFill="0" applyBorder="0" applyAlignment="0"/>
    <xf numFmtId="219" fontId="27" fillId="0" borderId="0" applyFill="0" applyBorder="0" applyAlignment="0"/>
    <xf numFmtId="173" fontId="11" fillId="0" borderId="0" applyFill="0" applyBorder="0" applyAlignment="0"/>
    <xf numFmtId="220" fontId="27" fillId="0" borderId="0" applyFill="0" applyBorder="0" applyAlignment="0"/>
    <xf numFmtId="210" fontId="79" fillId="0" borderId="0" applyFill="0" applyBorder="0" applyAlignment="0"/>
    <xf numFmtId="221" fontId="27" fillId="0" borderId="0" applyFill="0" applyBorder="0" applyAlignment="0"/>
    <xf numFmtId="222" fontId="11" fillId="0" borderId="0" applyFill="0" applyBorder="0" applyAlignment="0"/>
    <xf numFmtId="223" fontId="27" fillId="0" borderId="0" applyFill="0" applyBorder="0" applyAlignment="0"/>
    <xf numFmtId="0" fontId="11" fillId="0" borderId="0" applyFill="0" applyBorder="0" applyAlignment="0"/>
    <xf numFmtId="224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0" fontId="80" fillId="0" borderId="46" applyNumberFormat="0" applyAlignment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41" fillId="57" borderId="21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2" fillId="23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2" fillId="23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2" fillId="23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2" fillId="23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1" fillId="7" borderId="47" applyNumberFormat="0" applyAlignment="0" applyProtection="0"/>
    <xf numFmtId="0" fontId="82" fillId="23" borderId="47" applyNumberFormat="0" applyAlignment="0" applyProtection="0"/>
    <xf numFmtId="0" fontId="35" fillId="0" borderId="0" applyNumberFormat="0" applyFill="0" applyBorder="0" applyAlignment="0"/>
    <xf numFmtId="37" fontId="83" fillId="58" borderId="0" applyNumberFormat="0" applyFont="0" applyBorder="0" applyAlignment="0">
      <alignment horizontal="center"/>
    </xf>
    <xf numFmtId="0" fontId="11" fillId="0" borderId="0"/>
    <xf numFmtId="225" fontId="24" fillId="0" borderId="0" applyFill="0" applyBorder="0" applyProtection="0">
      <alignment horizontal="center" vertical="center"/>
    </xf>
    <xf numFmtId="225" fontId="24" fillId="0" borderId="0" applyFill="0" applyBorder="0" applyProtection="0">
      <alignment horizontal="center" vertical="center"/>
    </xf>
    <xf numFmtId="0" fontId="11" fillId="0" borderId="0">
      <alignment horizontal="centerContinuous"/>
    </xf>
    <xf numFmtId="0" fontId="84" fillId="0" borderId="0" applyNumberFormat="0" applyFill="0" applyBorder="0" applyAlignment="0"/>
    <xf numFmtId="0" fontId="78" fillId="0" borderId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85" fillId="59" borderId="24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10" fillId="47" borderId="48" applyNumberFormat="0" applyAlignment="0" applyProtection="0"/>
    <xf numFmtId="0" fontId="86" fillId="0" borderId="0" applyNumberFormat="0" applyFill="0" applyBorder="0" applyAlignment="0" applyProtection="0">
      <alignment vertical="top"/>
    </xf>
    <xf numFmtId="168" fontId="12" fillId="60" borderId="0">
      <alignment horizontal="left"/>
    </xf>
    <xf numFmtId="168" fontId="87" fillId="60" borderId="0">
      <alignment horizontal="right"/>
    </xf>
    <xf numFmtId="168" fontId="88" fillId="7" borderId="0">
      <alignment horizontal="center"/>
    </xf>
    <xf numFmtId="0" fontId="89" fillId="61" borderId="0"/>
    <xf numFmtId="168" fontId="87" fillId="60" borderId="0">
      <alignment horizontal="right"/>
    </xf>
    <xf numFmtId="168" fontId="90" fillId="7" borderId="0">
      <alignment horizontal="left"/>
    </xf>
    <xf numFmtId="226" fontId="27" fillId="0" borderId="0"/>
    <xf numFmtId="226" fontId="27" fillId="0" borderId="0"/>
    <xf numFmtId="226" fontId="27" fillId="0" borderId="0"/>
    <xf numFmtId="226" fontId="27" fillId="0" borderId="0"/>
    <xf numFmtId="226" fontId="27" fillId="0" borderId="0"/>
    <xf numFmtId="226" fontId="27" fillId="0" borderId="0"/>
    <xf numFmtId="226" fontId="27" fillId="0" borderId="0"/>
    <xf numFmtId="226" fontId="27" fillId="0" borderId="0"/>
    <xf numFmtId="222" fontId="11" fillId="0" borderId="0" applyFont="0" applyFill="0" applyBorder="0" applyAlignment="0" applyProtection="0"/>
    <xf numFmtId="223" fontId="27" fillId="0" borderId="0" applyFont="0" applyFill="0" applyBorder="0" applyAlignment="0" applyProtection="0"/>
    <xf numFmtId="38" fontId="91" fillId="0" borderId="0">
      <alignment horizontal="center"/>
      <protection locked="0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8" fontId="25" fillId="0" borderId="0"/>
    <xf numFmtId="3" fontId="11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92" fillId="0" borderId="0" applyNumberFormat="0" applyAlignment="0">
      <alignment horizontal="left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0" fontId="93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229" fontId="48" fillId="23" borderId="0">
      <protection hidden="1"/>
    </xf>
    <xf numFmtId="0" fontId="11" fillId="23" borderId="0">
      <protection hidden="1"/>
    </xf>
    <xf numFmtId="0" fontId="79" fillId="0" borderId="0" applyNumberFormat="0" applyAlignment="0"/>
    <xf numFmtId="165" fontId="56" fillId="0" borderId="0" applyFont="0" applyFill="0" applyBorder="0" applyAlignment="0" applyProtection="0"/>
    <xf numFmtId="217" fontId="11" fillId="0" borderId="0" applyFont="0" applyFill="0" applyBorder="0" applyAlignment="0" applyProtection="0"/>
    <xf numFmtId="218" fontId="27" fillId="0" borderId="0" applyFont="0" applyFill="0" applyBorder="0" applyAlignment="0" applyProtection="0"/>
    <xf numFmtId="208" fontId="43" fillId="0" borderId="0"/>
    <xf numFmtId="166" fontId="94" fillId="0" borderId="49">
      <protection locked="0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30" fontId="95" fillId="0" borderId="0" applyFont="0" applyFill="0" applyBorder="0" applyAlignment="0" applyProtection="0"/>
    <xf numFmtId="231" fontId="27" fillId="0" borderId="0" applyFont="0" applyFill="0" applyBorder="0" applyAlignment="0" applyProtection="0"/>
    <xf numFmtId="232" fontId="25" fillId="0" borderId="0"/>
    <xf numFmtId="49" fontId="96" fillId="62" borderId="0">
      <alignment vertical="center"/>
    </xf>
    <xf numFmtId="233" fontId="11" fillId="0" borderId="0" applyNumberFormat="0" applyFont="0" applyBorder="0" applyAlignment="0">
      <alignment horizontal="centerContinuous"/>
    </xf>
    <xf numFmtId="3" fontId="97" fillId="0" borderId="0"/>
    <xf numFmtId="0" fontId="25" fillId="0" borderId="0" applyNumberFormat="0" applyFont="0" applyBorder="0" applyAlignment="0"/>
    <xf numFmtId="17" fontId="98" fillId="0" borderId="50">
      <alignment horizontal="center" vertical="center"/>
    </xf>
    <xf numFmtId="0" fontId="11" fillId="0" borderId="0" applyFont="0" applyFill="0" applyBorder="0" applyAlignment="0" applyProtection="0"/>
    <xf numFmtId="234" fontId="11" fillId="0" borderId="51" applyFont="0" applyFill="0" applyAlignment="0" applyProtection="0"/>
    <xf numFmtId="235" fontId="11" fillId="0" borderId="0" applyFont="0" applyFill="0" applyAlignment="0" applyProtection="0"/>
    <xf numFmtId="236" fontId="11" fillId="0" borderId="37"/>
    <xf numFmtId="0" fontId="42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16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7" fontId="78" fillId="0" borderId="0" applyFont="0" applyFill="0" applyBorder="0" applyAlignment="0" applyProtection="0"/>
    <xf numFmtId="14" fontId="78" fillId="0" borderId="0" applyFill="0" applyBorder="0" applyAlignment="0"/>
    <xf numFmtId="0" fontId="42" fillId="0" borderId="0" applyFont="0" applyFill="0" applyBorder="0" applyProtection="0">
      <alignment horizontal="right"/>
    </xf>
    <xf numFmtId="237" fontId="99" fillId="0" borderId="0" applyFill="0" applyBorder="0">
      <alignment horizontal="right"/>
    </xf>
    <xf numFmtId="0" fontId="75" fillId="0" borderId="52">
      <alignment horizontal="center" vertical="center"/>
    </xf>
    <xf numFmtId="0" fontId="75" fillId="0" borderId="52" applyBorder="0">
      <alignment horizontal="center" vertical="center"/>
    </xf>
    <xf numFmtId="0" fontId="100" fillId="0" borderId="0" applyNumberFormat="0" applyFont="0" applyFill="0" applyBorder="0" applyAlignment="0" applyProtection="0">
      <alignment horizontal="left"/>
    </xf>
    <xf numFmtId="0" fontId="11" fillId="0" borderId="0"/>
    <xf numFmtId="0" fontId="93" fillId="0" borderId="0">
      <protection hidden="1"/>
    </xf>
    <xf numFmtId="0" fontId="11" fillId="0" borderId="0">
      <protection hidden="1"/>
    </xf>
    <xf numFmtId="0" fontId="101" fillId="0" borderId="0">
      <protection hidden="1"/>
    </xf>
    <xf numFmtId="238" fontId="43" fillId="63" borderId="0">
      <alignment horizontal="right"/>
    </xf>
    <xf numFmtId="0" fontId="23" fillId="0" borderId="0"/>
    <xf numFmtId="239" fontId="11" fillId="0" borderId="53">
      <alignment vertical="center"/>
    </xf>
    <xf numFmtId="15" fontId="102" fillId="64" borderId="0" applyNumberFormat="0" applyFont="0" applyBorder="0" applyAlignment="0" applyProtection="0"/>
    <xf numFmtId="3" fontId="93" fillId="0" borderId="54"/>
    <xf numFmtId="240" fontId="11" fillId="0" borderId="0" applyFont="0" applyFill="0" applyAlignment="0" applyProtection="0"/>
    <xf numFmtId="241" fontId="11" fillId="0" borderId="0" applyFont="0" applyFill="0" applyAlignment="0" applyProtection="0"/>
    <xf numFmtId="181" fontId="43" fillId="7" borderId="0"/>
    <xf numFmtId="181" fontId="99" fillId="7" borderId="0"/>
    <xf numFmtId="0" fontId="103" fillId="0" borderId="0"/>
    <xf numFmtId="242" fontId="11" fillId="0" borderId="0"/>
    <xf numFmtId="0" fontId="104" fillId="0" borderId="0"/>
    <xf numFmtId="243" fontId="11" fillId="0" borderId="0"/>
    <xf numFmtId="243" fontId="11" fillId="0" borderId="41"/>
    <xf numFmtId="243" fontId="11" fillId="0" borderId="2"/>
    <xf numFmtId="243" fontId="11" fillId="0" borderId="28"/>
    <xf numFmtId="243" fontId="11" fillId="0" borderId="1"/>
    <xf numFmtId="0" fontId="11" fillId="0" borderId="55"/>
    <xf numFmtId="0" fontId="11" fillId="0" borderId="56" applyNumberFormat="0" applyFont="0" applyFill="0" applyAlignment="0" applyProtection="0"/>
    <xf numFmtId="213" fontId="105" fillId="63" borderId="0">
      <alignment horizontal="right"/>
    </xf>
    <xf numFmtId="180" fontId="106" fillId="0" borderId="0" applyFill="0" applyBorder="0" applyAlignment="0" applyProtection="0"/>
    <xf numFmtId="0" fontId="11" fillId="26" borderId="41" applyNumberFormat="0" applyFont="0" applyAlignment="0" applyProtection="0">
      <alignment horizontal="center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0" fontId="107" fillId="9" borderId="0" applyNumberFormat="0">
      <protection locked="0"/>
    </xf>
    <xf numFmtId="244" fontId="11" fillId="0" borderId="0" applyFill="0" applyBorder="0" applyAlignment="0"/>
    <xf numFmtId="223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222" fontId="11" fillId="0" borderId="0" applyFill="0" applyBorder="0" applyAlignment="0"/>
    <xf numFmtId="223" fontId="27" fillId="0" borderId="0" applyFill="0" applyBorder="0" applyAlignment="0"/>
    <xf numFmtId="0" fontId="11" fillId="0" borderId="0" applyFill="0" applyBorder="0" applyAlignment="0"/>
    <xf numFmtId="224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0" fontId="11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9" fillId="0" borderId="0"/>
    <xf numFmtId="172" fontId="109" fillId="0" borderId="0"/>
    <xf numFmtId="191" fontId="109" fillId="0" borderId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0" fillId="0" borderId="0" applyFont="0" applyFill="0" applyBorder="0" applyAlignment="0" applyProtection="0"/>
    <xf numFmtId="246" fontId="110" fillId="0" borderId="0" applyFont="0" applyFill="0" applyBorder="0" applyAlignment="0" applyProtection="0"/>
    <xf numFmtId="246" fontId="11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75" fillId="0" borderId="27"/>
    <xf numFmtId="3" fontId="112" fillId="0" borderId="0" applyNumberFormat="0" applyFont="0" applyFill="0" applyBorder="0" applyAlignment="0" applyProtection="0">
      <alignment horizontal="left"/>
    </xf>
    <xf numFmtId="2" fontId="11" fillId="0" borderId="0" applyFont="0" applyFill="0" applyBorder="0" applyAlignment="0" applyProtection="0"/>
    <xf numFmtId="248" fontId="11" fillId="0" borderId="0" applyFont="0" applyFill="0" applyAlignment="0"/>
    <xf numFmtId="0" fontId="43" fillId="0" borderId="41" applyFont="0" applyFill="0" applyBorder="0" applyAlignment="0" applyProtection="0"/>
    <xf numFmtId="0" fontId="43" fillId="0" borderId="41" applyFont="0" applyFill="0" applyBorder="0" applyAlignment="0" applyProtection="0"/>
    <xf numFmtId="0" fontId="113" fillId="0" borderId="0" applyFill="0" applyBorder="0" applyProtection="0">
      <alignment horizontal="left"/>
    </xf>
    <xf numFmtId="0" fontId="96" fillId="65" borderId="0">
      <alignment horizontal="right" vertical="center"/>
    </xf>
    <xf numFmtId="0" fontId="114" fillId="0" borderId="0"/>
    <xf numFmtId="0" fontId="43" fillId="0" borderId="0">
      <protection hidden="1"/>
    </xf>
    <xf numFmtId="0" fontId="115" fillId="0" borderId="0" applyNumberFormat="0" applyFill="0" applyBorder="0" applyAlignment="0" applyProtection="0"/>
    <xf numFmtId="249" fontId="11" fillId="0" borderId="0" applyAlignment="0">
      <alignment horizontal="right"/>
    </xf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36" fillId="66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38" fontId="43" fillId="23" borderId="0" applyNumberFormat="0" applyBorder="0" applyAlignment="0" applyProtection="0"/>
    <xf numFmtId="0" fontId="117" fillId="0" borderId="0">
      <protection hidden="1"/>
    </xf>
    <xf numFmtId="0" fontId="11" fillId="0" borderId="0" applyFont="0" applyFill="0" applyBorder="0" applyAlignment="0" applyProtection="0">
      <alignment horizontal="right"/>
    </xf>
    <xf numFmtId="0" fontId="11" fillId="0" borderId="0" applyNumberFormat="0" applyFill="0" applyBorder="0" applyAlignment="0" applyProtection="0"/>
    <xf numFmtId="0" fontId="118" fillId="0" borderId="0" applyProtection="0">
      <alignment horizontal="right"/>
    </xf>
    <xf numFmtId="215" fontId="119" fillId="0" borderId="57">
      <alignment vertical="center"/>
    </xf>
    <xf numFmtId="215" fontId="120" fillId="55" borderId="58">
      <alignment horizontal="left" vertical="center" indent="1"/>
    </xf>
    <xf numFmtId="0" fontId="26" fillId="0" borderId="59" applyNumberFormat="0" applyAlignment="0" applyProtection="0">
      <alignment horizontal="left" vertical="center"/>
    </xf>
    <xf numFmtId="0" fontId="26" fillId="0" borderId="30">
      <alignment horizontal="left" vertical="center"/>
    </xf>
    <xf numFmtId="0" fontId="119" fillId="0" borderId="60" applyNumberFormat="0" applyFill="0">
      <alignment horizontal="center" vertical="top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1" fillId="7" borderId="61" applyNumberFormat="0">
      <alignment horizontal="left" vertical="center" indent="1"/>
    </xf>
    <xf numFmtId="0" fontId="122" fillId="9" borderId="0" applyNumberFormat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5" fillId="0" borderId="63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5" fillId="0" borderId="63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5" fillId="0" borderId="63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3" fillId="0" borderId="62" applyNumberFormat="0" applyFill="0" applyAlignment="0" applyProtection="0"/>
    <xf numFmtId="0" fontId="125" fillId="0" borderId="63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3" fillId="0" borderId="62" applyNumberFormat="0" applyFill="0" applyAlignment="0" applyProtection="0"/>
    <xf numFmtId="0" fontId="124" fillId="0" borderId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8" fillId="0" borderId="65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8" fillId="0" borderId="65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8" fillId="0" borderId="65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6" fillId="0" borderId="64" applyNumberFormat="0" applyFill="0" applyAlignment="0" applyProtection="0"/>
    <xf numFmtId="0" fontId="128" fillId="0" borderId="65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6" fillId="0" borderId="64" applyNumberFormat="0" applyFill="0" applyAlignment="0" applyProtection="0"/>
    <xf numFmtId="0" fontId="127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1" fillId="0" borderId="67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1" fillId="0" borderId="67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1" fillId="0" borderId="67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66" applyNumberFormat="0" applyFill="0" applyAlignment="0" applyProtection="0"/>
    <xf numFmtId="0" fontId="131" fillId="0" borderId="67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29" fillId="0" borderId="66" applyNumberFormat="0" applyFill="0" applyAlignment="0" applyProtection="0"/>
    <xf numFmtId="0" fontId="130" fillId="0" borderId="0" applyProtection="0">
      <alignment horizontal="left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22" fillId="9" borderId="0" applyNumberFormat="0" applyAlignment="0" applyProtection="0"/>
    <xf numFmtId="0" fontId="133" fillId="0" borderId="0" applyNumberFormat="0">
      <protection locked="0"/>
    </xf>
    <xf numFmtId="191" fontId="43" fillId="0" borderId="27">
      <alignment horizontal="right" vertical="center"/>
    </xf>
    <xf numFmtId="250" fontId="25" fillId="0" borderId="0">
      <protection locked="0"/>
    </xf>
    <xf numFmtId="251" fontId="26" fillId="0" borderId="0"/>
    <xf numFmtId="250" fontId="25" fillId="0" borderId="0">
      <protection locked="0"/>
    </xf>
    <xf numFmtId="0" fontId="25" fillId="0" borderId="0"/>
    <xf numFmtId="0" fontId="11" fillId="0" borderId="28">
      <alignment horizontal="center"/>
    </xf>
    <xf numFmtId="0" fontId="134" fillId="0" borderId="28">
      <alignment horizontal="center"/>
    </xf>
    <xf numFmtId="0" fontId="11" fillId="0" borderId="0">
      <alignment horizontal="center"/>
    </xf>
    <xf numFmtId="0" fontId="134" fillId="0" borderId="0">
      <alignment horizontal="center"/>
    </xf>
    <xf numFmtId="0" fontId="135" fillId="0" borderId="0">
      <alignment vertical="center"/>
    </xf>
    <xf numFmtId="0" fontId="135" fillId="0" borderId="0"/>
    <xf numFmtId="0" fontId="93" fillId="0" borderId="0"/>
    <xf numFmtId="3" fontId="136" fillId="0" borderId="0">
      <protection hidden="1"/>
    </xf>
    <xf numFmtId="0" fontId="137" fillId="0" borderId="68" applyNumberFormat="0" applyFill="0" applyAlignment="0" applyProtection="0"/>
    <xf numFmtId="0" fontId="75" fillId="9" borderId="69">
      <alignment horizontal="left" vertical="center" wrapText="1"/>
    </xf>
    <xf numFmtId="0" fontId="32" fillId="0" borderId="70" applyNumberFormat="0" applyAlignment="0"/>
    <xf numFmtId="0" fontId="138" fillId="0" borderId="0"/>
    <xf numFmtId="9" fontId="139" fillId="0" borderId="40"/>
    <xf numFmtId="0" fontId="139" fillId="0" borderId="40"/>
    <xf numFmtId="10" fontId="139" fillId="0" borderId="40"/>
    <xf numFmtId="0" fontId="139" fillId="0" borderId="40"/>
    <xf numFmtId="4" fontId="139" fillId="0" borderId="40"/>
    <xf numFmtId="10" fontId="43" fillId="12" borderId="41" applyNumberFormat="0" applyBorder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9" fillId="20" borderId="21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140" fillId="20" borderId="47" applyNumberFormat="0" applyAlignment="0" applyProtection="0"/>
    <xf numFmtId="0" fontId="35" fillId="0" borderId="0" applyAlignment="0">
      <protection locked="0"/>
    </xf>
    <xf numFmtId="252" fontId="43" fillId="67" borderId="0"/>
    <xf numFmtId="14" fontId="141" fillId="0" borderId="0">
      <alignment horizontal="center"/>
      <protection locked="0"/>
    </xf>
    <xf numFmtId="166" fontId="43" fillId="0" borderId="0"/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11" fillId="9" borderId="0"/>
    <xf numFmtId="253" fontId="43" fillId="0" borderId="0"/>
    <xf numFmtId="254" fontId="43" fillId="0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/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>
      <protection locked="0"/>
    </xf>
    <xf numFmtId="3" fontId="93" fillId="9" borderId="0"/>
    <xf numFmtId="253" fontId="142" fillId="12" borderId="0" applyNumberFormat="0" applyBorder="0" applyAlignment="0">
      <protection locked="0"/>
    </xf>
    <xf numFmtId="255" fontId="45" fillId="12" borderId="71">
      <alignment horizontal="center"/>
      <protection locked="0"/>
    </xf>
    <xf numFmtId="37" fontId="45" fillId="12" borderId="71">
      <alignment horizontal="right"/>
      <protection locked="0"/>
    </xf>
    <xf numFmtId="9" fontId="143" fillId="12" borderId="71">
      <alignment horizontal="right"/>
      <protection locked="0"/>
    </xf>
    <xf numFmtId="37" fontId="64" fillId="0" borderId="71">
      <alignment horizontal="right"/>
    </xf>
    <xf numFmtId="172" fontId="43" fillId="0" borderId="71">
      <alignment horizontal="right"/>
    </xf>
    <xf numFmtId="0" fontId="144" fillId="0" borderId="0"/>
    <xf numFmtId="256" fontId="11" fillId="0" borderId="0">
      <alignment horizontal="right"/>
    </xf>
    <xf numFmtId="1" fontId="145" fillId="1" borderId="2">
      <protection locked="0"/>
    </xf>
    <xf numFmtId="253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168" fontId="12" fillId="60" borderId="0">
      <alignment horizontal="left"/>
    </xf>
    <xf numFmtId="168" fontId="148" fillId="7" borderId="0">
      <alignment horizontal="left"/>
    </xf>
    <xf numFmtId="244" fontId="11" fillId="0" borderId="0" applyFill="0" applyBorder="0" applyAlignment="0"/>
    <xf numFmtId="223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222" fontId="11" fillId="0" borderId="0" applyFill="0" applyBorder="0" applyAlignment="0"/>
    <xf numFmtId="223" fontId="27" fillId="0" borderId="0" applyFill="0" applyBorder="0" applyAlignment="0"/>
    <xf numFmtId="0" fontId="11" fillId="0" borderId="0" applyFill="0" applyBorder="0" applyAlignment="0"/>
    <xf numFmtId="224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37" fontId="149" fillId="0" borderId="0" applyNumberFormat="0" applyFill="0" applyBorder="0" applyAlignment="0" applyProtection="0">
      <alignment horizontal="right"/>
    </xf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1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1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1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1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0" fillId="0" borderId="72" applyNumberFormat="0" applyFill="0" applyAlignment="0" applyProtection="0"/>
    <xf numFmtId="0" fontId="151" fillId="0" borderId="72" applyNumberFormat="0" applyFill="0" applyAlignment="0" applyProtection="0"/>
    <xf numFmtId="252" fontId="43" fillId="60" borderId="0"/>
    <xf numFmtId="0" fontId="96" fillId="55" borderId="0">
      <alignment horizontal="right" vertical="center"/>
    </xf>
    <xf numFmtId="257" fontId="11" fillId="0" borderId="0" applyAlignment="0">
      <alignment horizontal="right"/>
    </xf>
    <xf numFmtId="258" fontId="11" fillId="0" borderId="0" applyFont="0" applyFill="0" applyBorder="0" applyAlignment="0" applyProtection="0"/>
    <xf numFmtId="259" fontId="11" fillId="0" borderId="0" applyFont="0" applyFill="0" applyBorder="0" applyAlignment="0" applyProtection="0"/>
    <xf numFmtId="180" fontId="43" fillId="0" borderId="0" applyFont="0" applyFill="0" applyBorder="0" applyAlignment="0" applyProtection="0"/>
    <xf numFmtId="260" fontId="43" fillId="0" borderId="0" applyFont="0" applyFill="0" applyBorder="0" applyAlignment="0" applyProtection="0"/>
    <xf numFmtId="17" fontId="11" fillId="0" borderId="0" applyFont="0" applyFill="0" applyBorder="0" applyAlignment="0" applyProtection="0"/>
    <xf numFmtId="261" fontId="11" fillId="0" borderId="0" applyFont="0" applyFill="0" applyBorder="0" applyAlignment="0" applyProtection="0"/>
    <xf numFmtId="262" fontId="11" fillId="0" borderId="0" applyFont="0" applyFill="0" applyBorder="0" applyAlignment="0" applyProtection="0"/>
    <xf numFmtId="263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0" fontId="11" fillId="0" borderId="0"/>
    <xf numFmtId="0" fontId="56" fillId="0" borderId="73" applyNumberFormat="0">
      <alignment horizontal="left"/>
    </xf>
    <xf numFmtId="0" fontId="152" fillId="0" borderId="0" applyFont="0" applyFill="0" applyBorder="0" applyProtection="0">
      <alignment horizontal="right"/>
    </xf>
    <xf numFmtId="49" fontId="153" fillId="62" borderId="0">
      <alignment horizontal="centerContinuous" vertical="center"/>
    </xf>
    <xf numFmtId="264" fontId="43" fillId="23" borderId="0" applyFont="0" applyBorder="0" applyAlignment="0" applyProtection="0">
      <alignment horizontal="right"/>
      <protection hidden="1"/>
    </xf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38" fillId="68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5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5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5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5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4" fillId="9" borderId="0" applyNumberFormat="0" applyBorder="0" applyAlignment="0" applyProtection="0"/>
    <xf numFmtId="0" fontId="155" fillId="9" borderId="0" applyNumberFormat="0" applyBorder="0" applyAlignment="0" applyProtection="0"/>
    <xf numFmtId="0" fontId="12" fillId="54" borderId="42">
      <alignment horizontal="center" wrapText="1"/>
    </xf>
    <xf numFmtId="0" fontId="35" fillId="0" borderId="0"/>
    <xf numFmtId="0" fontId="156" fillId="43" borderId="0"/>
    <xf numFmtId="0" fontId="12" fillId="69" borderId="0"/>
    <xf numFmtId="0" fontId="12" fillId="69" borderId="0"/>
    <xf numFmtId="0" fontId="157" fillId="0" borderId="0"/>
    <xf numFmtId="37" fontId="158" fillId="0" borderId="0"/>
    <xf numFmtId="265" fontId="11" fillId="0" borderId="0"/>
    <xf numFmtId="0" fontId="159" fillId="23" borderId="0">
      <alignment horizontal="left" indent="1"/>
    </xf>
    <xf numFmtId="0" fontId="46" fillId="0" borderId="0"/>
    <xf numFmtId="16" fontId="35" fillId="0" borderId="0"/>
    <xf numFmtId="14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8" fontId="43" fillId="0" borderId="41" applyFont="0" applyFill="0" applyBorder="0" applyAlignment="0" applyProtection="0"/>
    <xf numFmtId="266" fontId="11" fillId="0" borderId="0" applyFont="0" applyFill="0" applyAlignment="0"/>
    <xf numFmtId="241" fontId="11" fillId="0" borderId="0" applyFont="0" applyFill="0" applyAlignment="0"/>
    <xf numFmtId="267" fontId="11" fillId="0" borderId="0" applyFont="0" applyFill="0" applyAlignment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4" fontId="64" fillId="7" borderId="35">
      <alignment horizontal="left" vertical="center" indent="2"/>
    </xf>
    <xf numFmtId="0" fontId="11" fillId="0" borderId="0"/>
    <xf numFmtId="4" fontId="64" fillId="7" borderId="35">
      <alignment horizontal="left" vertical="center" indent="2"/>
    </xf>
    <xf numFmtId="0" fontId="11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225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28" fillId="0" borderId="0"/>
    <xf numFmtId="0" fontId="28" fillId="0" borderId="0"/>
    <xf numFmtId="4" fontId="64" fillId="7" borderId="35">
      <alignment horizontal="left" vertical="center" indent="2"/>
    </xf>
    <xf numFmtId="0" fontId="28" fillId="0" borderId="0"/>
    <xf numFmtId="0" fontId="28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28" fillId="0" borderId="0"/>
    <xf numFmtId="0" fontId="28" fillId="0" borderId="0"/>
    <xf numFmtId="4" fontId="64" fillId="7" borderId="35">
      <alignment horizontal="left" vertical="center" indent="2"/>
    </xf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225" fontId="78" fillId="0" borderId="0"/>
    <xf numFmtId="0" fontId="11" fillId="0" borderId="0"/>
    <xf numFmtId="0" fontId="11" fillId="0" borderId="0"/>
    <xf numFmtId="0" fontId="11" fillId="0" borderId="0"/>
    <xf numFmtId="4" fontId="64" fillId="7" borderId="35">
      <alignment horizontal="left" vertical="center" indent="2"/>
    </xf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5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0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43" fillId="0" borderId="0"/>
    <xf numFmtId="0" fontId="28" fillId="0" borderId="0"/>
    <xf numFmtId="0" fontId="11" fillId="0" borderId="0">
      <alignment vertical="center"/>
    </xf>
    <xf numFmtId="0" fontId="11" fillId="0" borderId="0"/>
    <xf numFmtId="0" fontId="28" fillId="0" borderId="0"/>
    <xf numFmtId="0" fontId="28" fillId="0" borderId="0"/>
    <xf numFmtId="0" fontId="11" fillId="0" borderId="0" applyNumberFormat="0" applyFill="0" applyAlignment="0" applyProtection="0"/>
    <xf numFmtId="268" fontId="78" fillId="0" borderId="0" applyFont="0" applyFill="0" applyBorder="0" applyAlignment="0" applyProtection="0"/>
    <xf numFmtId="269" fontId="78" fillId="0" borderId="0" applyFont="0" applyFill="0" applyBorder="0" applyAlignment="0" applyProtection="0"/>
    <xf numFmtId="270" fontId="11" fillId="0" borderId="0" applyFont="0" applyFill="0" applyAlignment="0" applyProtection="0"/>
    <xf numFmtId="271" fontId="78" fillId="0" borderId="0" applyFont="0" applyFill="0" applyBorder="0" applyAlignment="0" applyProtection="0"/>
    <xf numFmtId="272" fontId="78" fillId="0" borderId="0" applyFont="0" applyFill="0" applyBorder="0" applyAlignment="0" applyProtection="0"/>
    <xf numFmtId="0" fontId="161" fillId="0" borderId="0"/>
    <xf numFmtId="0" fontId="25" fillId="23" borderId="30" applyNumberFormat="0" applyFont="0" applyFill="0">
      <alignment horizontal="center"/>
    </xf>
    <xf numFmtId="14" fontId="11" fillId="0" borderId="0">
      <alignment horizontal="center"/>
    </xf>
    <xf numFmtId="0" fontId="162" fillId="0" borderId="0"/>
    <xf numFmtId="0" fontId="163" fillId="0" borderId="0"/>
    <xf numFmtId="0" fontId="11" fillId="0" borderId="0">
      <alignment horizontal="left"/>
      <protection locked="0"/>
    </xf>
    <xf numFmtId="0" fontId="11" fillId="0" borderId="31">
      <protection locked="0"/>
    </xf>
    <xf numFmtId="0" fontId="11" fillId="0" borderId="1">
      <protection locked="0"/>
    </xf>
    <xf numFmtId="0" fontId="11" fillId="0" borderId="29">
      <protection locked="0"/>
    </xf>
    <xf numFmtId="0" fontId="11" fillId="0" borderId="27"/>
    <xf numFmtId="37" fontId="164" fillId="0" borderId="0" applyNumberFormat="0" applyFont="0" applyFill="0" applyBorder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57" fillId="12" borderId="25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28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1" fillId="12" borderId="74" applyNumberFormat="0" applyFont="0" applyAlignment="0" applyProtection="0"/>
    <xf numFmtId="0" fontId="165" fillId="0" borderId="75"/>
    <xf numFmtId="273" fontId="43" fillId="0" borderId="0" applyFont="0" applyFill="0" applyBorder="0" applyAlignment="0" applyProtection="0"/>
    <xf numFmtId="37" fontId="11" fillId="0" borderId="0"/>
    <xf numFmtId="274" fontId="166" fillId="0" borderId="0" applyFill="0" applyBorder="0" applyAlignment="0" applyProtection="0"/>
    <xf numFmtId="0" fontId="11" fillId="0" borderId="0"/>
    <xf numFmtId="0" fontId="11" fillId="0" borderId="0"/>
    <xf numFmtId="37" fontId="11" fillId="0" borderId="1"/>
    <xf numFmtId="0" fontId="167" fillId="0" borderId="0"/>
    <xf numFmtId="275" fontId="4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" fontId="168" fillId="0" borderId="76">
      <alignment horizontal="center" vertical="top" wrapText="1"/>
      <protection locked="0"/>
    </xf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40" fillId="57" borderId="22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23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23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23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23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7" borderId="77" applyNumberFormat="0" applyAlignment="0" applyProtection="0"/>
    <xf numFmtId="0" fontId="169" fillId="23" borderId="77" applyNumberFormat="0" applyAlignment="0" applyProtection="0"/>
    <xf numFmtId="40" fontId="170" fillId="7" borderId="0">
      <alignment horizontal="right"/>
    </xf>
    <xf numFmtId="0" fontId="171" fillId="70" borderId="0">
      <alignment horizontal="center"/>
    </xf>
    <xf numFmtId="0" fontId="172" fillId="7" borderId="32"/>
    <xf numFmtId="0" fontId="173" fillId="7" borderId="0" applyBorder="0">
      <alignment horizontal="centerContinuous"/>
    </xf>
    <xf numFmtId="0" fontId="174" fillId="71" borderId="0" applyBorder="0">
      <alignment horizontal="centerContinuous"/>
    </xf>
    <xf numFmtId="3" fontId="25" fillId="17" borderId="41" applyNumberFormat="0" applyAlignment="0">
      <alignment horizontal="center"/>
      <protection locked="0"/>
    </xf>
    <xf numFmtId="0" fontId="175" fillId="0" borderId="0" applyFill="0" applyBorder="0" applyProtection="0">
      <alignment horizontal="left"/>
    </xf>
    <xf numFmtId="0" fontId="17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178" fillId="7" borderId="0"/>
    <xf numFmtId="0" fontId="11" fillId="0" borderId="0" applyFont="0" applyFill="0" applyAlignment="0" applyProtection="0"/>
    <xf numFmtId="0" fontId="11" fillId="0" borderId="0" applyFont="0" applyFill="0" applyAlignment="0" applyProtection="0"/>
    <xf numFmtId="14" fontId="42" fillId="0" borderId="0">
      <alignment horizontal="center" wrapText="1"/>
      <protection locked="0"/>
    </xf>
    <xf numFmtId="210" fontId="79" fillId="0" borderId="0" applyFont="0" applyFill="0" applyBorder="0" applyAlignment="0" applyProtection="0"/>
    <xf numFmtId="276" fontId="11" fillId="0" borderId="0" applyFont="0" applyFill="0" applyAlignment="0"/>
    <xf numFmtId="277" fontId="11" fillId="0" borderId="0" applyFont="0" applyFill="0" applyBorder="0" applyAlignment="0" applyProtection="0"/>
    <xf numFmtId="278" fontId="27" fillId="0" borderId="0" applyFont="0" applyFill="0" applyBorder="0" applyAlignment="0" applyProtection="0"/>
    <xf numFmtId="279" fontId="11" fillId="0" borderId="0" applyFont="0" applyFill="0" applyAlignment="0"/>
    <xf numFmtId="10" fontId="11" fillId="0" borderId="0" applyFont="0" applyFill="0" applyBorder="0" applyAlignment="0" applyProtection="0"/>
    <xf numFmtId="3" fontId="93" fillId="0" borderId="0"/>
    <xf numFmtId="280" fontId="48" fillId="0" borderId="0">
      <protection hidden="1"/>
    </xf>
    <xf numFmtId="3" fontId="9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 applyFont="0" applyFill="0" applyBorder="0" applyProtection="0">
      <alignment horizontal="right"/>
    </xf>
    <xf numFmtId="9" fontId="11" fillId="0" borderId="0"/>
    <xf numFmtId="10" fontId="11" fillId="0" borderId="0"/>
    <xf numFmtId="10" fontId="43" fillId="0" borderId="0"/>
    <xf numFmtId="0" fontId="179" fillId="9" borderId="52">
      <alignment horizontal="center" vertical="center"/>
    </xf>
    <xf numFmtId="281" fontId="43" fillId="0" borderId="0" applyFont="0" applyFill="0" applyBorder="0" applyAlignment="0" applyProtection="0"/>
    <xf numFmtId="0" fontId="11" fillId="0" borderId="0">
      <protection locked="0"/>
    </xf>
    <xf numFmtId="0" fontId="180" fillId="0" borderId="0">
      <protection locked="0"/>
    </xf>
    <xf numFmtId="0" fontId="11" fillId="0" borderId="0">
      <protection locked="0"/>
    </xf>
    <xf numFmtId="0" fontId="25" fillId="0" borderId="0">
      <protection locked="0"/>
    </xf>
    <xf numFmtId="0" fontId="11" fillId="0" borderId="0"/>
    <xf numFmtId="282" fontId="11" fillId="0" borderId="0" applyFont="0" applyFill="0" applyBorder="0" applyAlignment="0" applyProtection="0"/>
    <xf numFmtId="244" fontId="11" fillId="0" borderId="0" applyFill="0" applyBorder="0" applyAlignment="0"/>
    <xf numFmtId="223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222" fontId="11" fillId="0" borderId="0" applyFill="0" applyBorder="0" applyAlignment="0"/>
    <xf numFmtId="223" fontId="27" fillId="0" borderId="0" applyFill="0" applyBorder="0" applyAlignment="0"/>
    <xf numFmtId="0" fontId="11" fillId="0" borderId="0" applyFill="0" applyBorder="0" applyAlignment="0"/>
    <xf numFmtId="224" fontId="27" fillId="0" borderId="0" applyFill="0" applyBorder="0" applyAlignment="0"/>
    <xf numFmtId="217" fontId="11" fillId="0" borderId="0" applyFill="0" applyBorder="0" applyAlignment="0"/>
    <xf numFmtId="218" fontId="27" fillId="0" borderId="0" applyFill="0" applyBorder="0" applyAlignment="0"/>
    <xf numFmtId="0" fontId="181" fillId="0" borderId="0" applyNumberFormat="0" applyFill="0" applyBorder="0" applyAlignment="0" applyProtection="0"/>
    <xf numFmtId="164" fontId="182" fillId="0" borderId="0"/>
    <xf numFmtId="164" fontId="183" fillId="0" borderId="0"/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0" fontId="184" fillId="47" borderId="0">
      <alignment horizontal="left" indent="1"/>
    </xf>
    <xf numFmtId="9" fontId="185" fillId="0" borderId="54"/>
    <xf numFmtId="9" fontId="185" fillId="0" borderId="54"/>
    <xf numFmtId="3" fontId="107" fillId="0" borderId="0">
      <protection locked="0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6" fillId="0" borderId="28">
      <alignment horizontal="center"/>
    </xf>
    <xf numFmtId="3" fontId="56" fillId="0" borderId="0" applyFont="0" applyFill="0" applyBorder="0" applyAlignment="0" applyProtection="0"/>
    <xf numFmtId="0" fontId="56" fillId="72" borderId="0" applyNumberFormat="0" applyFont="0" applyBorder="0" applyAlignment="0" applyProtection="0"/>
    <xf numFmtId="253" fontId="186" fillId="0" borderId="0" applyNumberFormat="0" applyFill="0" applyBorder="0" applyAlignment="0" applyProtection="0">
      <alignment horizontal="left"/>
    </xf>
    <xf numFmtId="0" fontId="34" fillId="0" borderId="33" applyNumberFormat="0" applyFill="0" applyBorder="0" applyAlignment="0" applyProtection="0">
      <alignment horizontal="center"/>
    </xf>
    <xf numFmtId="3" fontId="187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0" fontId="185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4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87" fillId="23" borderId="0"/>
    <xf numFmtId="3" fontId="11" fillId="23" borderId="0"/>
    <xf numFmtId="0" fontId="188" fillId="73" borderId="0" applyNumberFormat="0" applyFont="0" applyBorder="0" applyAlignment="0">
      <alignment horizontal="center"/>
    </xf>
    <xf numFmtId="168" fontId="148" fillId="9" borderId="0">
      <alignment horizontal="center"/>
    </xf>
    <xf numFmtId="49" fontId="189" fillId="7" borderId="0">
      <alignment horizontal="center"/>
    </xf>
    <xf numFmtId="283" fontId="190" fillId="0" borderId="0" applyNumberFormat="0" applyFill="0" applyBorder="0" applyAlignment="0" applyProtection="0">
      <alignment horizontal="left"/>
    </xf>
    <xf numFmtId="283" fontId="191" fillId="0" borderId="0" applyNumberFormat="0" applyFill="0" applyBorder="0" applyAlignment="0" applyProtection="0">
      <alignment horizontal="left"/>
    </xf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0" fontId="192" fillId="7" borderId="0" applyFont="0" applyFill="0" applyAlignment="0"/>
    <xf numFmtId="37" fontId="25" fillId="47" borderId="0" applyBorder="0" applyAlignment="0" applyProtection="0"/>
    <xf numFmtId="37" fontId="43" fillId="0" borderId="0" applyNumberFormat="0" applyFont="0" applyFill="0" applyBorder="0" applyAlignment="0" applyProtection="0"/>
    <xf numFmtId="37" fontId="43" fillId="0" borderId="0" applyNumberFormat="0" applyFont="0" applyFill="0" applyBorder="0" applyAlignment="0" applyProtection="0"/>
    <xf numFmtId="37" fontId="43" fillId="0" borderId="0" applyNumberFormat="0" applyFont="0" applyFill="0" applyBorder="0" applyAlignment="0" applyProtection="0"/>
    <xf numFmtId="168" fontId="87" fillId="60" borderId="0">
      <alignment horizontal="center"/>
    </xf>
    <xf numFmtId="168" fontId="87" fillId="60" borderId="0">
      <alignment horizontal="centerContinuous"/>
    </xf>
    <xf numFmtId="168" fontId="193" fillId="7" borderId="0">
      <alignment horizontal="left"/>
    </xf>
    <xf numFmtId="49" fontId="193" fillId="7" borderId="0">
      <alignment horizontal="center"/>
    </xf>
    <xf numFmtId="168" fontId="12" fillId="60" borderId="0">
      <alignment horizontal="left"/>
    </xf>
    <xf numFmtId="49" fontId="193" fillId="7" borderId="0">
      <alignment horizontal="left"/>
    </xf>
    <xf numFmtId="168" fontId="12" fillId="60" borderId="0">
      <alignment horizontal="centerContinuous"/>
    </xf>
    <xf numFmtId="168" fontId="12" fillId="60" borderId="0">
      <alignment horizontal="right"/>
    </xf>
    <xf numFmtId="49" fontId="148" fillId="7" borderId="0">
      <alignment horizontal="left"/>
    </xf>
    <xf numFmtId="164" fontId="11" fillId="0" borderId="0"/>
    <xf numFmtId="168" fontId="87" fillId="60" borderId="0">
      <alignment horizontal="right"/>
    </xf>
    <xf numFmtId="0" fontId="86" fillId="0" borderId="0" applyNumberFormat="0" applyFill="0" applyBorder="0" applyAlignment="0" applyProtection="0">
      <alignment vertical="top"/>
    </xf>
    <xf numFmtId="0" fontId="194" fillId="23" borderId="46" applyNumberFormat="0" applyAlignment="0">
      <protection locked="0"/>
    </xf>
    <xf numFmtId="0" fontId="195" fillId="0" borderId="78">
      <alignment vertical="center"/>
    </xf>
    <xf numFmtId="168" fontId="193" fillId="20" borderId="0">
      <alignment horizontal="center"/>
    </xf>
    <xf numFmtId="168" fontId="45" fillId="20" borderId="0">
      <alignment horizontal="center"/>
    </xf>
    <xf numFmtId="0" fontId="196" fillId="74" borderId="0"/>
    <xf numFmtId="0" fontId="197" fillId="56" borderId="0" applyNumberFormat="0" applyBorder="0" applyAlignment="0" applyProtection="0"/>
    <xf numFmtId="0" fontId="35" fillId="69" borderId="0" applyNumberFormat="0" applyFont="0" applyBorder="0" applyAlignment="0" applyProtection="0"/>
    <xf numFmtId="0" fontId="188" fillId="1" borderId="30" applyNumberFormat="0" applyFont="0" applyAlignment="0">
      <alignment horizontal="center"/>
    </xf>
    <xf numFmtId="1" fontId="11" fillId="0" borderId="0"/>
    <xf numFmtId="0" fontId="198" fillId="0" borderId="79">
      <alignment horizontal="center" vertical="center"/>
    </xf>
    <xf numFmtId="213" fontId="31" fillId="63" borderId="0">
      <alignment horizontal="right"/>
    </xf>
    <xf numFmtId="180" fontId="77" fillId="0" borderId="0" applyFill="0" applyBorder="0" applyAlignment="0" applyProtection="0"/>
    <xf numFmtId="0" fontId="96" fillId="62" borderId="0">
      <alignment horizontal="right" vertical="center"/>
    </xf>
    <xf numFmtId="0" fontId="97" fillId="0" borderId="0" applyNumberFormat="0" applyFill="0" applyBorder="0" applyAlignment="0">
      <alignment horizontal="center"/>
    </xf>
    <xf numFmtId="0" fontId="199" fillId="0" borderId="0"/>
    <xf numFmtId="179" fontId="166" fillId="0" borderId="0"/>
    <xf numFmtId="0" fontId="200" fillId="0" borderId="80" applyProtection="0">
      <alignment horizontal="centerContinuous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37" fontId="43" fillId="0" borderId="5" applyBorder="0"/>
    <xf numFmtId="37" fontId="43" fillId="0" borderId="5" applyBorder="0"/>
    <xf numFmtId="37" fontId="99" fillId="0" borderId="5" applyBorder="0"/>
    <xf numFmtId="37" fontId="11" fillId="0" borderId="5" applyBorder="0"/>
    <xf numFmtId="37" fontId="84" fillId="0" borderId="5" applyBorder="0"/>
    <xf numFmtId="37" fontId="201" fillId="70" borderId="81" applyBorder="0">
      <alignment vertical="center"/>
    </xf>
    <xf numFmtId="0" fontId="202" fillId="0" borderId="0"/>
    <xf numFmtId="0" fontId="25" fillId="0" borderId="0"/>
    <xf numFmtId="40" fontId="203" fillId="0" borderId="0" applyBorder="0">
      <alignment horizontal="right"/>
    </xf>
    <xf numFmtId="40" fontId="204" fillId="0" borderId="0" applyBorder="0">
      <alignment horizontal="right"/>
    </xf>
    <xf numFmtId="0" fontId="25" fillId="0" borderId="0" applyNumberFormat="0" applyFont="0"/>
    <xf numFmtId="0" fontId="135" fillId="0" borderId="0"/>
    <xf numFmtId="0" fontId="205" fillId="0" borderId="0"/>
    <xf numFmtId="0" fontId="24" fillId="0" borderId="0" applyFill="0" applyBorder="0" applyProtection="0">
      <alignment horizontal="center" vertical="center"/>
    </xf>
    <xf numFmtId="0" fontId="206" fillId="0" borderId="0" applyBorder="0" applyProtection="0">
      <alignment vertical="center"/>
    </xf>
    <xf numFmtId="0" fontId="11" fillId="0" borderId="27" applyBorder="0" applyProtection="0">
      <alignment horizontal="right" vertical="center"/>
    </xf>
    <xf numFmtId="0" fontId="207" fillId="75" borderId="0" applyBorder="0" applyProtection="0">
      <alignment horizontal="centerContinuous" vertical="center"/>
    </xf>
    <xf numFmtId="0" fontId="207" fillId="55" borderId="27" applyBorder="0" applyProtection="0">
      <alignment horizontal="centerContinuous" vertical="center"/>
    </xf>
    <xf numFmtId="0" fontId="208" fillId="0" borderId="0"/>
    <xf numFmtId="0" fontId="24" fillId="0" borderId="0" applyFill="0" applyBorder="0" applyProtection="0"/>
    <xf numFmtId="0" fontId="162" fillId="0" borderId="0"/>
    <xf numFmtId="0" fontId="25" fillId="0" borderId="0" applyFill="0" applyBorder="0" applyProtection="0">
      <alignment horizontal="left"/>
    </xf>
    <xf numFmtId="0" fontId="44" fillId="0" borderId="0" applyFill="0" applyBorder="0" applyProtection="0">
      <alignment horizontal="left" vertical="top"/>
    </xf>
    <xf numFmtId="0" fontId="34" fillId="0" borderId="0">
      <alignment horizontal="centerContinuous"/>
    </xf>
    <xf numFmtId="2" fontId="93" fillId="0" borderId="0"/>
    <xf numFmtId="0" fontId="11" fillId="0" borderId="0" applyNumberFormat="0" applyFont="0" applyAlignment="0" applyProtection="0"/>
    <xf numFmtId="0" fontId="11" fillId="0" borderId="0"/>
    <xf numFmtId="284" fontId="11" fillId="0" borderId="41" applyFont="0" applyFill="0" applyBorder="0" applyAlignment="0" applyProtection="0">
      <protection locked="0" hidden="1"/>
    </xf>
    <xf numFmtId="0" fontId="75" fillId="0" borderId="69">
      <alignment horizontal="left" vertical="top" wrapText="1"/>
    </xf>
    <xf numFmtId="0" fontId="209" fillId="47" borderId="0">
      <alignment horizontal="left" vertical="center" indent="1"/>
    </xf>
    <xf numFmtId="0" fontId="210" fillId="0" borderId="0"/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09" fillId="47" borderId="0">
      <alignment horizontal="left" vertical="center" indent="1"/>
    </xf>
    <xf numFmtId="0" fontId="211" fillId="0" borderId="0"/>
    <xf numFmtId="49" fontId="78" fillId="0" borderId="0" applyFill="0" applyBorder="0" applyAlignment="0"/>
    <xf numFmtId="244" fontId="56" fillId="0" borderId="0" applyFill="0" applyBorder="0" applyAlignment="0"/>
    <xf numFmtId="285" fontId="27" fillId="0" borderId="0" applyFill="0" applyBorder="0" applyAlignment="0"/>
    <xf numFmtId="286" fontId="11" fillId="0" borderId="0" applyFill="0" applyBorder="0" applyAlignment="0"/>
    <xf numFmtId="287" fontId="27" fillId="0" borderId="0" applyFill="0" applyBorder="0" applyAlignment="0"/>
    <xf numFmtId="0" fontId="99" fillId="63" borderId="0"/>
    <xf numFmtId="0" fontId="43" fillId="63" borderId="0">
      <alignment horizontal="left"/>
    </xf>
    <xf numFmtId="0" fontId="43" fillId="63" borderId="0">
      <alignment horizontal="left" indent="1"/>
    </xf>
    <xf numFmtId="0" fontId="43" fillId="63" borderId="0">
      <alignment horizontal="left" vertical="center" indent="2"/>
    </xf>
    <xf numFmtId="0" fontId="23" fillId="0" borderId="0">
      <alignment horizontal="centerContinuous" wrapText="1"/>
    </xf>
    <xf numFmtId="0" fontId="101" fillId="0" borderId="0" applyNumberFormat="0" applyFont="0" applyFill="0" applyBorder="0" applyProtection="0">
      <alignment wrapText="1"/>
    </xf>
    <xf numFmtId="0" fontId="88" fillId="0" borderId="0">
      <alignment vertical="top"/>
    </xf>
    <xf numFmtId="0" fontId="212" fillId="0" borderId="0"/>
    <xf numFmtId="0" fontId="193" fillId="0" borderId="0">
      <alignment vertical="top"/>
    </xf>
    <xf numFmtId="288" fontId="213" fillId="0" borderId="0" applyFill="0" applyBorder="0" applyAlignment="0" applyProtection="0">
      <alignment horizontal="right"/>
    </xf>
    <xf numFmtId="28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63" borderId="0">
      <alignment horizontal="left" vertical="center" indent="1"/>
    </xf>
    <xf numFmtId="0" fontId="218" fillId="0" borderId="0">
      <alignment vertical="top"/>
    </xf>
    <xf numFmtId="0" fontId="75" fillId="20" borderId="69">
      <alignment horizontal="center" wrapText="1"/>
    </xf>
    <xf numFmtId="0" fontId="75" fillId="20" borderId="69">
      <alignment horizontal="left" vertical="top" wrapText="1"/>
    </xf>
    <xf numFmtId="0" fontId="75" fillId="12" borderId="79">
      <alignment horizontal="left" vertical="center" wrapText="1" indent="1"/>
    </xf>
    <xf numFmtId="0" fontId="219" fillId="0" borderId="0">
      <alignment horizontal="right"/>
    </xf>
    <xf numFmtId="0" fontId="32" fillId="0" borderId="0" applyNumberFormat="0" applyBorder="0" applyAlignment="0"/>
    <xf numFmtId="290" fontId="11" fillId="0" borderId="1" applyNumberFormat="0" applyFont="0" applyFill="0" applyAlignment="0" applyProtection="0"/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75" fillId="12" borderId="69">
      <alignment horizontal="center" vertical="center" wrapText="1"/>
    </xf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20" fillId="0" borderId="26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4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4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4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0" fontId="29" fillId="0" borderId="82" applyNumberFormat="0" applyFill="0" applyAlignment="0" applyProtection="0"/>
    <xf numFmtId="0" fontId="29" fillId="0" borderId="84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7" fillId="0" borderId="83" applyNumberFormat="0" applyFont="0" applyFill="0" applyAlignment="0" applyProtection="0"/>
    <xf numFmtId="15" fontId="221" fillId="20" borderId="85">
      <alignment horizontal="center" vertical="center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75" fillId="9" borderId="69">
      <alignment horizontal="center" vertical="center" wrapText="1"/>
    </xf>
    <xf numFmtId="0" fontId="222" fillId="0" borderId="0">
      <alignment horizontal="centerContinuous"/>
    </xf>
    <xf numFmtId="0" fontId="11" fillId="0" borderId="27"/>
    <xf numFmtId="37" fontId="43" fillId="9" borderId="0" applyNumberFormat="0" applyBorder="0" applyAlignment="0" applyProtection="0"/>
    <xf numFmtId="37" fontId="43" fillId="0" borderId="0"/>
    <xf numFmtId="37" fontId="223" fillId="9" borderId="0" applyNumberFormat="0" applyBorder="0" applyAlignment="0" applyProtection="0"/>
    <xf numFmtId="3" fontId="45" fillId="0" borderId="68" applyProtection="0"/>
    <xf numFmtId="168" fontId="224" fillId="7" borderId="0">
      <alignment horizontal="center"/>
    </xf>
    <xf numFmtId="0" fontId="79" fillId="0" borderId="86"/>
    <xf numFmtId="283" fontId="43" fillId="0" borderId="0">
      <alignment horizontal="center"/>
    </xf>
    <xf numFmtId="255" fontId="43" fillId="0" borderId="71">
      <alignment horizontal="center"/>
    </xf>
    <xf numFmtId="37" fontId="43" fillId="0" borderId="71">
      <alignment horizontal="right"/>
    </xf>
    <xf numFmtId="9" fontId="64" fillId="0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37" fontId="64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72" fontId="43" fillId="23" borderId="71">
      <alignment horizontal="right"/>
    </xf>
    <xf numFmtId="168" fontId="225" fillId="0" borderId="0" applyNumberFormat="0" applyAlignment="0">
      <alignment horizontal="right"/>
    </xf>
    <xf numFmtId="37" fontId="99" fillId="23" borderId="71">
      <alignment horizontal="right"/>
    </xf>
    <xf numFmtId="37" fontId="226" fillId="23" borderId="71">
      <alignment horizontal="right"/>
    </xf>
    <xf numFmtId="37" fontId="43" fillId="23" borderId="71">
      <alignment horizontal="right"/>
    </xf>
    <xf numFmtId="9" fontId="64" fillId="23" borderId="71">
      <alignment horizontal="right"/>
    </xf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227" fillId="0" borderId="0">
      <protection hidden="1"/>
    </xf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37" fontId="43" fillId="0" borderId="0" applyNumberFormat="0" applyFont="0" applyFill="0" applyBorder="0" applyAlignment="0" applyProtection="0"/>
    <xf numFmtId="10" fontId="11" fillId="26" borderId="41" applyNumberFormat="0" applyFont="0" applyBorder="0" applyAlignment="0" applyProtection="0">
      <protection locked="0"/>
    </xf>
    <xf numFmtId="200" fontId="23" fillId="0" borderId="0"/>
    <xf numFmtId="0" fontId="42" fillId="0" borderId="0" applyFont="0" applyFill="0" applyBorder="0" applyProtection="0">
      <alignment horizontal="right"/>
    </xf>
    <xf numFmtId="0" fontId="43" fillId="9" borderId="0"/>
    <xf numFmtId="180" fontId="7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230" fillId="0" borderId="0" applyFont="0" applyFill="0" applyBorder="0" applyAlignment="0" applyProtection="0"/>
    <xf numFmtId="0" fontId="231" fillId="0" borderId="0"/>
    <xf numFmtId="0" fontId="59" fillId="0" borderId="0"/>
    <xf numFmtId="0" fontId="232" fillId="9" borderId="0" applyNumberFormat="0" applyBorder="0" applyAlignment="0" applyProtection="0">
      <alignment vertical="center"/>
    </xf>
    <xf numFmtId="0" fontId="233" fillId="12" borderId="74" applyNumberFormat="0" applyFont="0" applyAlignment="0" applyProtection="0">
      <alignment vertical="center"/>
    </xf>
    <xf numFmtId="291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0" fontId="234" fillId="0" borderId="84" applyNumberFormat="0" applyFill="0" applyAlignment="0" applyProtection="0">
      <alignment vertical="center"/>
    </xf>
    <xf numFmtId="293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0" fontId="230" fillId="0" borderId="0" applyFont="0" applyFill="0" applyBorder="0" applyAlignment="0" applyProtection="0"/>
    <xf numFmtId="295" fontId="230" fillId="0" borderId="0" applyFont="0" applyFill="0" applyBorder="0" applyAlignment="0" applyProtection="0"/>
    <xf numFmtId="0" fontId="235" fillId="14" borderId="0" applyNumberFormat="0" applyBorder="0" applyAlignment="0" applyProtection="0">
      <alignment vertical="center"/>
    </xf>
    <xf numFmtId="0" fontId="236" fillId="0" borderId="0"/>
    <xf numFmtId="0" fontId="237" fillId="8" borderId="0" applyNumberFormat="0" applyBorder="0" applyAlignment="0" applyProtection="0">
      <alignment vertical="center"/>
    </xf>
    <xf numFmtId="0" fontId="238" fillId="8" borderId="0" applyNumberFormat="0" applyBorder="0" applyAlignment="0" applyProtection="0">
      <alignment vertical="center"/>
    </xf>
    <xf numFmtId="0" fontId="239" fillId="14" borderId="0" applyNumberFormat="0" applyBorder="0" applyAlignment="0" applyProtection="0">
      <alignment vertical="center"/>
    </xf>
    <xf numFmtId="0" fontId="11" fillId="0" borderId="0"/>
    <xf numFmtId="0" fontId="62" fillId="4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1" fillId="0" borderId="63" applyNumberFormat="0" applyFill="0" applyAlignment="0" applyProtection="0">
      <alignment vertical="center"/>
    </xf>
    <xf numFmtId="0" fontId="242" fillId="0" borderId="65" applyNumberFormat="0" applyFill="0" applyAlignment="0" applyProtection="0">
      <alignment vertical="center"/>
    </xf>
    <xf numFmtId="0" fontId="243" fillId="0" borderId="67" applyNumberFormat="0" applyFill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4" fillId="47" borderId="48" applyNumberFormat="0" applyAlignment="0" applyProtection="0">
      <alignment vertical="center"/>
    </xf>
    <xf numFmtId="0" fontId="245" fillId="0" borderId="0" applyNumberFormat="0" applyFill="0" applyBorder="0" applyAlignment="0" applyProtection="0">
      <alignment vertical="center"/>
    </xf>
    <xf numFmtId="0" fontId="246" fillId="0" borderId="63" applyNumberFormat="0" applyFill="0" applyAlignment="0" applyProtection="0">
      <alignment vertical="center"/>
    </xf>
    <xf numFmtId="0" fontId="247" fillId="0" borderId="65" applyNumberFormat="0" applyFill="0" applyAlignment="0" applyProtection="0">
      <alignment vertical="center"/>
    </xf>
    <xf numFmtId="0" fontId="248" fillId="0" borderId="67" applyNumberFormat="0" applyFill="0" applyAlignment="0" applyProtection="0">
      <alignment vertical="center"/>
    </xf>
    <xf numFmtId="0" fontId="248" fillId="0" borderId="0" applyNumberFormat="0" applyFill="0" applyBorder="0" applyAlignment="0" applyProtection="0">
      <alignment vertical="center"/>
    </xf>
    <xf numFmtId="0" fontId="249" fillId="47" borderId="48" applyNumberFormat="0" applyAlignment="0" applyProtection="0">
      <alignment vertical="center"/>
    </xf>
    <xf numFmtId="0" fontId="250" fillId="0" borderId="84" applyNumberFormat="0" applyFill="0" applyAlignment="0" applyProtection="0">
      <alignment vertical="center"/>
    </xf>
    <xf numFmtId="0" fontId="11" fillId="12" borderId="74" applyNumberFormat="0" applyFont="0" applyAlignment="0" applyProtection="0">
      <alignment vertical="center"/>
    </xf>
    <xf numFmtId="0" fontId="251" fillId="0" borderId="0" applyNumberFormat="0" applyFill="0" applyBorder="0" applyAlignment="0" applyProtection="0">
      <alignment vertical="center"/>
    </xf>
    <xf numFmtId="0" fontId="252" fillId="23" borderId="47" applyNumberFormat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4" fillId="0" borderId="0" applyNumberFormat="0" applyFill="0" applyBorder="0" applyAlignment="0" applyProtection="0">
      <alignment vertical="center"/>
    </xf>
    <xf numFmtId="0" fontId="255" fillId="0" borderId="0" applyNumberFormat="0" applyFill="0" applyBorder="0" applyAlignment="0" applyProtection="0">
      <alignment vertical="center"/>
    </xf>
    <xf numFmtId="0" fontId="256" fillId="23" borderId="47" applyNumberFormat="0" applyAlignment="0" applyProtection="0">
      <alignment vertical="center"/>
    </xf>
    <xf numFmtId="296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0" fontId="63" fillId="43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57" fillId="20" borderId="47" applyNumberFormat="0" applyAlignment="0" applyProtection="0">
      <alignment vertical="center"/>
    </xf>
    <xf numFmtId="0" fontId="258" fillId="23" borderId="77" applyNumberFormat="0" applyAlignment="0" applyProtection="0">
      <alignment vertical="center"/>
    </xf>
    <xf numFmtId="0" fontId="259" fillId="20" borderId="47" applyNumberFormat="0" applyAlignment="0" applyProtection="0">
      <alignment vertical="center"/>
    </xf>
    <xf numFmtId="0" fontId="260" fillId="23" borderId="77" applyNumberFormat="0" applyAlignment="0" applyProtection="0">
      <alignment vertical="center"/>
    </xf>
    <xf numFmtId="0" fontId="261" fillId="9" borderId="0" applyNumberFormat="0" applyBorder="0" applyAlignment="0" applyProtection="0">
      <alignment vertical="center"/>
    </xf>
    <xf numFmtId="0" fontId="262" fillId="0" borderId="72" applyNumberFormat="0" applyFill="0" applyAlignment="0" applyProtection="0">
      <alignment vertical="center"/>
    </xf>
    <xf numFmtId="0" fontId="263" fillId="0" borderId="72" applyNumberFormat="0" applyFill="0" applyAlignment="0" applyProtection="0">
      <alignment vertical="center"/>
    </xf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5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4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1" fillId="31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37" fillId="6" borderId="0" applyNumberFormat="0" applyBorder="0" applyAlignment="0" applyProtection="0"/>
    <xf numFmtId="0" fontId="41" fillId="57" borderId="21" applyNumberFormat="0" applyAlignment="0" applyProtection="0"/>
    <xf numFmtId="0" fontId="85" fillId="59" borderId="24" applyNumberFormat="0" applyAlignment="0" applyProtection="0"/>
    <xf numFmtId="0" fontId="264" fillId="0" borderId="0" applyNumberFormat="0" applyFill="0" applyBorder="0" applyAlignment="0" applyProtection="0"/>
    <xf numFmtId="0" fontId="36" fillId="66" borderId="0" applyNumberFormat="0" applyBorder="0" applyAlignment="0" applyProtection="0"/>
    <xf numFmtId="0" fontId="265" fillId="0" borderId="18" applyNumberFormat="0" applyFill="0" applyAlignment="0" applyProtection="0"/>
    <xf numFmtId="0" fontId="266" fillId="0" borderId="19" applyNumberFormat="0" applyFill="0" applyAlignment="0" applyProtection="0"/>
    <xf numFmtId="0" fontId="267" fillId="0" borderId="20" applyNumberFormat="0" applyFill="0" applyAlignment="0" applyProtection="0"/>
    <xf numFmtId="0" fontId="267" fillId="0" borderId="0" applyNumberFormat="0" applyFill="0" applyBorder="0" applyAlignment="0" applyProtection="0"/>
    <xf numFmtId="0" fontId="39" fillId="20" borderId="21" applyNumberFormat="0" applyAlignment="0" applyProtection="0"/>
    <xf numFmtId="0" fontId="268" fillId="0" borderId="23" applyNumberFormat="0" applyFill="0" applyAlignment="0" applyProtection="0"/>
    <xf numFmtId="0" fontId="38" fillId="68" borderId="0" applyNumberFormat="0" applyBorder="0" applyAlignment="0" applyProtection="0"/>
    <xf numFmtId="0" fontId="57" fillId="12" borderId="25" applyNumberFormat="0" applyFont="0" applyAlignment="0" applyProtection="0"/>
    <xf numFmtId="0" fontId="40" fillId="57" borderId="22" applyNumberFormat="0" applyAlignment="0" applyProtection="0"/>
    <xf numFmtId="0" fontId="216" fillId="0" borderId="0" applyNumberFormat="0" applyFill="0" applyBorder="0" applyAlignment="0" applyProtection="0"/>
    <xf numFmtId="0" fontId="220" fillId="0" borderId="26" applyNumberFormat="0" applyFill="0" applyAlignment="0" applyProtection="0"/>
    <xf numFmtId="0" fontId="229" fillId="0" borderId="0" applyNumberForma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69" fillId="23" borderId="74">
      <alignment vertical="center"/>
    </xf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74" fillId="0" borderId="0" applyFont="0" applyFill="0" applyBorder="0" applyAlignment="0" applyProtection="0"/>
    <xf numFmtId="9" fontId="274" fillId="0" borderId="0" applyFont="0" applyFill="0" applyBorder="0" applyAlignment="0" applyProtection="0"/>
  </cellStyleXfs>
  <cellXfs count="319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2" fillId="0" borderId="0" xfId="0" applyFont="1"/>
    <xf numFmtId="2" fontId="0" fillId="0" borderId="0" xfId="0" applyNumberFormat="1"/>
    <xf numFmtId="0" fontId="0" fillId="0" borderId="0" xfId="0" applyFont="1"/>
    <xf numFmtId="3" fontId="0" fillId="0" borderId="0" xfId="0" applyNumberFormat="1"/>
    <xf numFmtId="3" fontId="2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3" fontId="0" fillId="0" borderId="1" xfId="0" applyNumberFormat="1" applyBorder="1"/>
    <xf numFmtId="172" fontId="0" fillId="0" borderId="0" xfId="0" applyNumberFormat="1"/>
    <xf numFmtId="0" fontId="8" fillId="0" borderId="0" xfId="0" applyFont="1"/>
    <xf numFmtId="172" fontId="6" fillId="2" borderId="2" xfId="0" applyNumberFormat="1" applyFont="1" applyFill="1" applyBorder="1"/>
    <xf numFmtId="17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Border="1"/>
    <xf numFmtId="174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Fill="1"/>
    <xf numFmtId="171" fontId="5" fillId="0" borderId="0" xfId="0" applyNumberFormat="1" applyFont="1" applyFill="1" applyAlignment="1">
      <alignment horizontal="center"/>
    </xf>
    <xf numFmtId="0" fontId="6" fillId="0" borderId="0" xfId="0" applyFont="1"/>
    <xf numFmtId="9" fontId="0" fillId="0" borderId="0" xfId="0" applyNumberFormat="1" applyFill="1" applyAlignment="1">
      <alignment horizontal="center"/>
    </xf>
    <xf numFmtId="175" fontId="0" fillId="0" borderId="0" xfId="0" applyNumberFormat="1" applyFont="1" applyAlignment="1">
      <alignment horizontal="left"/>
    </xf>
    <xf numFmtId="10" fontId="5" fillId="0" borderId="0" xfId="0" applyNumberFormat="1" applyFont="1"/>
    <xf numFmtId="9" fontId="0" fillId="0" borderId="0" xfId="0" applyNumberFormat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/>
    <xf numFmtId="0" fontId="14" fillId="0" borderId="0" xfId="0" applyFont="1"/>
    <xf numFmtId="177" fontId="0" fillId="0" borderId="0" xfId="0" applyNumberFormat="1"/>
    <xf numFmtId="178" fontId="0" fillId="0" borderId="0" xfId="0" applyNumberFormat="1"/>
    <xf numFmtId="176" fontId="15" fillId="0" borderId="0" xfId="0" applyNumberFormat="1" applyFont="1" applyAlignment="1">
      <alignment horizontal="left"/>
    </xf>
    <xf numFmtId="0" fontId="15" fillId="0" borderId="0" xfId="0" applyFont="1"/>
    <xf numFmtId="4" fontId="4" fillId="0" borderId="0" xfId="0" applyNumberFormat="1" applyFont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/>
    <xf numFmtId="3" fontId="2" fillId="0" borderId="0" xfId="0" applyNumberFormat="1" applyFont="1"/>
    <xf numFmtId="9" fontId="0" fillId="0" borderId="0" xfId="0" applyNumberFormat="1"/>
    <xf numFmtId="9" fontId="18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/>
    <xf numFmtId="3" fontId="18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Font="1" applyBorder="1"/>
    <xf numFmtId="3" fontId="0" fillId="0" borderId="0" xfId="0" applyNumberFormat="1" applyFont="1"/>
    <xf numFmtId="9" fontId="0" fillId="0" borderId="0" xfId="0" applyNumberFormat="1" applyAlignment="1">
      <alignment horizontal="right"/>
    </xf>
    <xf numFmtId="3" fontId="5" fillId="0" borderId="0" xfId="0" applyNumberFormat="1" applyFont="1"/>
    <xf numFmtId="10" fontId="2" fillId="0" borderId="0" xfId="0" applyNumberFormat="1" applyFont="1"/>
    <xf numFmtId="9" fontId="4" fillId="0" borderId="0" xfId="0" applyNumberFormat="1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/>
    <xf numFmtId="0" fontId="17" fillId="0" borderId="0" xfId="0" applyFont="1" applyAlignment="1">
      <alignment horizontal="left" indent="2"/>
    </xf>
    <xf numFmtId="9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 indent="1"/>
    </xf>
    <xf numFmtId="0" fontId="17" fillId="0" borderId="0" xfId="0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179" fontId="0" fillId="0" borderId="0" xfId="0" applyNumberFormat="1"/>
    <xf numFmtId="0" fontId="19" fillId="0" borderId="0" xfId="0" applyFont="1" applyBorder="1"/>
    <xf numFmtId="3" fontId="19" fillId="0" borderId="0" xfId="0" applyNumberFormat="1" applyFont="1"/>
    <xf numFmtId="0" fontId="19" fillId="0" borderId="0" xfId="0" applyFont="1"/>
    <xf numFmtId="2" fontId="0" fillId="0" borderId="0" xfId="0" applyNumberFormat="1" applyAlignment="1">
      <alignment horizontal="right"/>
    </xf>
    <xf numFmtId="3" fontId="9" fillId="0" borderId="0" xfId="0" applyNumberFormat="1" applyFont="1"/>
    <xf numFmtId="172" fontId="0" fillId="0" borderId="0" xfId="0" applyNumberFormat="1" applyFill="1"/>
    <xf numFmtId="3" fontId="2" fillId="0" borderId="1" xfId="0" applyNumberFormat="1" applyFont="1" applyFill="1" applyBorder="1"/>
    <xf numFmtId="3" fontId="9" fillId="0" borderId="1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3" fontId="0" fillId="0" borderId="0" xfId="0" applyNumberFormat="1" applyFill="1" applyBorder="1"/>
    <xf numFmtId="172" fontId="8" fillId="0" borderId="0" xfId="0" applyNumberFormat="1" applyFont="1" applyFill="1" applyBorder="1" applyAlignment="1">
      <alignment horizontal="right"/>
    </xf>
    <xf numFmtId="0" fontId="0" fillId="0" borderId="1" xfId="0" applyFill="1" applyBorder="1"/>
    <xf numFmtId="3" fontId="0" fillId="2" borderId="8" xfId="0" applyNumberFormat="1" applyFill="1" applyBorder="1"/>
    <xf numFmtId="3" fontId="0" fillId="0" borderId="7" xfId="0" applyNumberFormat="1" applyBorder="1"/>
    <xf numFmtId="3" fontId="0" fillId="2" borderId="10" xfId="0" applyNumberFormat="1" applyFill="1" applyBorder="1"/>
    <xf numFmtId="3" fontId="0" fillId="2" borderId="9" xfId="0" applyNumberFormat="1" applyFill="1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3" fontId="0" fillId="0" borderId="13" xfId="0" applyNumberFormat="1" applyBorder="1"/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2" borderId="17" xfId="0" applyNumberFormat="1" applyFill="1" applyBorder="1"/>
    <xf numFmtId="17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172" fontId="8" fillId="0" borderId="0" xfId="0" applyNumberFormat="1" applyFont="1" applyAlignment="1">
      <alignment horizontal="right"/>
    </xf>
    <xf numFmtId="3" fontId="22" fillId="0" borderId="0" xfId="0" applyNumberFormat="1" applyFont="1" applyFill="1" applyBorder="1"/>
    <xf numFmtId="0" fontId="21" fillId="0" borderId="0" xfId="0" applyFont="1" applyAlignment="1">
      <alignment horizontal="center"/>
    </xf>
    <xf numFmtId="0" fontId="14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left" indent="1"/>
    </xf>
    <xf numFmtId="0" fontId="19" fillId="0" borderId="0" xfId="0" applyFont="1" applyFill="1"/>
    <xf numFmtId="0" fontId="0" fillId="0" borderId="0" xfId="0" applyFont="1" applyFill="1"/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171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8" fillId="0" borderId="0" xfId="0" applyNumberFormat="1" applyFont="1" applyFill="1" applyBorder="1"/>
    <xf numFmtId="3" fontId="7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/>
    <xf numFmtId="0" fontId="2" fillId="0" borderId="0" xfId="0" applyFont="1" applyBorder="1"/>
    <xf numFmtId="3" fontId="7" fillId="0" borderId="0" xfId="0" applyNumberFormat="1" applyFont="1" applyBorder="1"/>
    <xf numFmtId="4" fontId="5" fillId="0" borderId="0" xfId="0" applyNumberFormat="1" applyFont="1" applyBorder="1"/>
    <xf numFmtId="3" fontId="6" fillId="0" borderId="1" xfId="0" applyNumberFormat="1" applyFont="1" applyBorder="1"/>
    <xf numFmtId="3" fontId="0" fillId="2" borderId="15" xfId="0" applyNumberFormat="1" applyFill="1" applyBorder="1"/>
    <xf numFmtId="3" fontId="0" fillId="2" borderId="14" xfId="0" applyNumberFormat="1" applyFill="1" applyBorder="1"/>
    <xf numFmtId="10" fontId="0" fillId="0" borderId="0" xfId="0" applyNumberFormat="1" applyFont="1"/>
    <xf numFmtId="4" fontId="18" fillId="0" borderId="0" xfId="0" applyNumberFormat="1" applyFont="1" applyFill="1" applyBorder="1"/>
    <xf numFmtId="173" fontId="0" fillId="0" borderId="0" xfId="0" applyNumberFormat="1"/>
    <xf numFmtId="9" fontId="270" fillId="0" borderId="0" xfId="0" applyNumberFormat="1" applyFont="1"/>
    <xf numFmtId="3" fontId="271" fillId="0" borderId="0" xfId="0" applyNumberFormat="1" applyFont="1" applyAlignment="1">
      <alignment horizontal="right"/>
    </xf>
    <xf numFmtId="10" fontId="0" fillId="0" borderId="1" xfId="0" applyNumberFormat="1" applyBorder="1"/>
    <xf numFmtId="4" fontId="5" fillId="0" borderId="0" xfId="0" applyNumberFormat="1" applyFont="1"/>
    <xf numFmtId="172" fontId="5" fillId="0" borderId="0" xfId="0" applyNumberFormat="1" applyFont="1" applyFill="1"/>
    <xf numFmtId="172" fontId="0" fillId="0" borderId="0" xfId="0" applyNumberFormat="1" applyFill="1" applyAlignment="1">
      <alignment horizontal="center"/>
    </xf>
    <xf numFmtId="2" fontId="5" fillId="0" borderId="0" xfId="0" applyNumberFormat="1" applyFont="1" applyFill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0" fontId="19" fillId="0" borderId="1" xfId="0" applyFont="1" applyBorder="1"/>
    <xf numFmtId="9" fontId="5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3" fontId="17" fillId="0" borderId="0" xfId="0" applyNumberFormat="1" applyFont="1"/>
    <xf numFmtId="3" fontId="272" fillId="0" borderId="0" xfId="0" applyNumberFormat="1" applyFont="1"/>
    <xf numFmtId="0" fontId="17" fillId="0" borderId="0" xfId="0" applyFont="1" applyFill="1" applyAlignment="1">
      <alignment horizontal="left" indent="1"/>
    </xf>
    <xf numFmtId="9" fontId="17" fillId="0" borderId="0" xfId="0" applyNumberFormat="1" applyFont="1" applyAlignment="1">
      <alignment horizontal="right"/>
    </xf>
    <xf numFmtId="10" fontId="0" fillId="0" borderId="0" xfId="0" applyNumberFormat="1" applyBorder="1"/>
    <xf numFmtId="3" fontId="0" fillId="2" borderId="88" xfId="0" applyNumberFormat="1" applyFill="1" applyBorder="1"/>
    <xf numFmtId="3" fontId="4" fillId="76" borderId="0" xfId="0" applyNumberFormat="1" applyFont="1" applyFill="1"/>
    <xf numFmtId="0" fontId="0" fillId="0" borderId="0" xfId="0" applyFont="1" applyFill="1" applyBorder="1" applyAlignment="1">
      <alignment horizontal="left" indent="1"/>
    </xf>
    <xf numFmtId="3" fontId="4" fillId="76" borderId="0" xfId="0" applyNumberFormat="1" applyFont="1" applyFill="1" applyAlignment="1">
      <alignment horizontal="right"/>
    </xf>
    <xf numFmtId="3" fontId="272" fillId="0" borderId="0" xfId="0" applyNumberFormat="1" applyFont="1" applyFill="1"/>
    <xf numFmtId="1" fontId="4" fillId="76" borderId="0" xfId="0" applyNumberFormat="1" applyFont="1" applyFill="1"/>
    <xf numFmtId="3" fontId="6" fillId="76" borderId="1" xfId="0" applyNumberFormat="1" applyFont="1" applyFill="1" applyBorder="1"/>
    <xf numFmtId="10" fontId="0" fillId="0" borderId="0" xfId="0" applyNumberFormat="1" applyAlignment="1">
      <alignment horizontal="right"/>
    </xf>
    <xf numFmtId="172" fontId="17" fillId="0" borderId="0" xfId="0" applyNumberFormat="1" applyFont="1" applyAlignment="1">
      <alignment horizontal="right"/>
    </xf>
    <xf numFmtId="3" fontId="2" fillId="0" borderId="0" xfId="0" applyNumberFormat="1" applyFont="1" applyFill="1" applyBorder="1"/>
    <xf numFmtId="0" fontId="0" fillId="0" borderId="0" xfId="0" applyFont="1" applyFill="1" applyAlignment="1">
      <alignment horizontal="left" indent="2"/>
    </xf>
    <xf numFmtId="172" fontId="270" fillId="0" borderId="0" xfId="0" applyNumberFormat="1" applyFont="1"/>
    <xf numFmtId="3" fontId="4" fillId="2" borderId="16" xfId="0" applyNumberFormat="1" applyFont="1" applyFill="1" applyBorder="1"/>
    <xf numFmtId="0" fontId="4" fillId="0" borderId="0" xfId="0" applyFont="1" applyFill="1"/>
    <xf numFmtId="9" fontId="7" fillId="0" borderId="0" xfId="0" applyNumberFormat="1" applyFont="1" applyFill="1" applyBorder="1"/>
    <xf numFmtId="4" fontId="4" fillId="76" borderId="0" xfId="0" applyNumberFormat="1" applyFont="1" applyFill="1"/>
    <xf numFmtId="2" fontId="0" fillId="0" borderId="0" xfId="0" applyNumberFormat="1" applyFill="1"/>
    <xf numFmtId="10" fontId="0" fillId="0" borderId="0" xfId="0" applyNumberFormat="1" applyFill="1"/>
    <xf numFmtId="9" fontId="0" fillId="0" borderId="0" xfId="0" applyNumberFormat="1" applyFill="1"/>
    <xf numFmtId="9" fontId="17" fillId="0" borderId="0" xfId="0" applyNumberFormat="1" applyFont="1" applyFill="1"/>
    <xf numFmtId="0" fontId="4" fillId="0" borderId="0" xfId="0" applyFont="1" applyFill="1" applyAlignment="1">
      <alignment horizontal="right"/>
    </xf>
    <xf numFmtId="9" fontId="20" fillId="0" borderId="0" xfId="0" applyNumberFormat="1" applyFont="1" applyFill="1"/>
    <xf numFmtId="0" fontId="18" fillId="0" borderId="0" xfId="0" applyFont="1" applyFill="1"/>
    <xf numFmtId="300" fontId="0" fillId="0" borderId="0" xfId="0" applyNumberFormat="1"/>
    <xf numFmtId="172" fontId="7" fillId="0" borderId="0" xfId="0" applyNumberFormat="1" applyFont="1" applyFill="1" applyBorder="1"/>
    <xf numFmtId="3" fontId="273" fillId="76" borderId="0" xfId="0" applyNumberFormat="1" applyFont="1" applyFill="1"/>
    <xf numFmtId="0" fontId="2" fillId="0" borderId="0" xfId="0" applyFont="1" applyAlignment="1">
      <alignment horizontal="left" indent="1"/>
    </xf>
    <xf numFmtId="3" fontId="273" fillId="76" borderId="0" xfId="0" applyNumberFormat="1" applyFont="1" applyFill="1" applyAlignment="1">
      <alignment horizontal="right"/>
    </xf>
    <xf numFmtId="4" fontId="273" fillId="76" borderId="0" xfId="0" applyNumberFormat="1" applyFont="1" applyFill="1"/>
    <xf numFmtId="3" fontId="5" fillId="76" borderId="0" xfId="0" applyNumberFormat="1" applyFont="1" applyFill="1" applyAlignment="1">
      <alignment horizontal="right"/>
    </xf>
    <xf numFmtId="172" fontId="5" fillId="76" borderId="0" xfId="4387" applyNumberFormat="1" applyFont="1" applyFill="1" applyAlignment="1">
      <alignment horizontal="right"/>
    </xf>
    <xf numFmtId="172" fontId="272" fillId="76" borderId="0" xfId="4387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9" fontId="275" fillId="0" borderId="0" xfId="0" applyNumberFormat="1" applyFont="1"/>
    <xf numFmtId="3" fontId="7" fillId="76" borderId="0" xfId="0" applyNumberFormat="1" applyFont="1" applyFill="1" applyAlignment="1">
      <alignment horizontal="right"/>
    </xf>
    <xf numFmtId="0" fontId="2" fillId="0" borderId="27" xfId="0" applyFont="1" applyBorder="1"/>
    <xf numFmtId="0" fontId="17" fillId="0" borderId="27" xfId="0" applyFont="1" applyBorder="1"/>
    <xf numFmtId="3" fontId="2" fillId="0" borderId="27" xfId="0" applyNumberFormat="1" applyFont="1" applyBorder="1"/>
    <xf numFmtId="171" fontId="19" fillId="0" borderId="0" xfId="0" applyNumberFormat="1" applyFont="1"/>
    <xf numFmtId="171" fontId="20" fillId="0" borderId="0" xfId="0" applyNumberFormat="1" applyFont="1" applyAlignment="1">
      <alignment horizontal="right"/>
    </xf>
    <xf numFmtId="171" fontId="275" fillId="0" borderId="0" xfId="0" applyNumberFormat="1" applyFont="1"/>
    <xf numFmtId="172" fontId="273" fillId="76" borderId="0" xfId="4387" applyNumberFormat="1" applyFont="1" applyFill="1" applyAlignment="1">
      <alignment horizontal="right"/>
    </xf>
    <xf numFmtId="172" fontId="7" fillId="0" borderId="1" xfId="0" applyNumberFormat="1" applyFont="1" applyBorder="1"/>
    <xf numFmtId="172" fontId="7" fillId="0" borderId="0" xfId="0" applyNumberFormat="1" applyFont="1" applyBorder="1"/>
    <xf numFmtId="172" fontId="9" fillId="0" borderId="0" xfId="0" applyNumberFormat="1" applyFont="1" applyBorder="1"/>
    <xf numFmtId="172" fontId="5" fillId="0" borderId="0" xfId="0" applyNumberFormat="1" applyFont="1" applyBorder="1"/>
    <xf numFmtId="3" fontId="5" fillId="76" borderId="0" xfId="0" applyNumberFormat="1" applyFont="1" applyFill="1"/>
    <xf numFmtId="3" fontId="272" fillId="76" borderId="0" xfId="0" applyNumberFormat="1" applyFont="1" applyFill="1"/>
    <xf numFmtId="37" fontId="7" fillId="0" borderId="0" xfId="4386" applyNumberFormat="1" applyFont="1" applyBorder="1" applyAlignment="1">
      <alignment horizontal="right"/>
    </xf>
    <xf numFmtId="9" fontId="276" fillId="0" borderId="0" xfId="0" applyNumberFormat="1" applyFont="1"/>
    <xf numFmtId="172" fontId="276" fillId="0" borderId="0" xfId="0" applyNumberFormat="1" applyFont="1"/>
    <xf numFmtId="298" fontId="275" fillId="0" borderId="0" xfId="0" applyNumberFormat="1" applyFont="1"/>
    <xf numFmtId="172" fontId="272" fillId="0" borderId="0" xfId="0" applyNumberFormat="1" applyFont="1"/>
    <xf numFmtId="1" fontId="5" fillId="76" borderId="0" xfId="0" applyNumberFormat="1" applyFont="1" applyFill="1"/>
    <xf numFmtId="1" fontId="273" fillId="76" borderId="0" xfId="0" applyNumberFormat="1" applyFont="1" applyFill="1"/>
    <xf numFmtId="3" fontId="277" fillId="76" borderId="1" xfId="0" applyNumberFormat="1" applyFont="1" applyFill="1" applyBorder="1"/>
    <xf numFmtId="10" fontId="273" fillId="0" borderId="0" xfId="4387" applyNumberFormat="1" applyFont="1"/>
    <xf numFmtId="181" fontId="273" fillId="0" borderId="0" xfId="4386" applyNumberFormat="1" applyFont="1"/>
    <xf numFmtId="181" fontId="0" fillId="0" borderId="0" xfId="0" applyNumberFormat="1" applyAlignment="1">
      <alignment horizontal="right"/>
    </xf>
    <xf numFmtId="181" fontId="272" fillId="13" borderId="0" xfId="0" applyNumberFormat="1" applyFont="1" applyFill="1" applyAlignment="1">
      <alignment horizontal="right"/>
    </xf>
    <xf numFmtId="181" fontId="2" fillId="0" borderId="27" xfId="0" applyNumberFormat="1" applyFont="1" applyBorder="1" applyAlignment="1">
      <alignment horizontal="right"/>
    </xf>
    <xf numFmtId="172" fontId="0" fillId="0" borderId="0" xfId="4387" applyNumberFormat="1" applyFont="1"/>
    <xf numFmtId="0" fontId="277" fillId="0" borderId="0" xfId="0" applyFont="1" applyAlignment="1">
      <alignment horizontal="left"/>
    </xf>
    <xf numFmtId="0" fontId="277" fillId="0" borderId="0" xfId="0" applyFont="1"/>
    <xf numFmtId="172" fontId="273" fillId="0" borderId="0" xfId="0" applyNumberFormat="1" applyFont="1" applyFill="1"/>
    <xf numFmtId="2" fontId="273" fillId="0" borderId="0" xfId="0" applyNumberFormat="1" applyFont="1"/>
    <xf numFmtId="10" fontId="273" fillId="0" borderId="0" xfId="0" applyNumberFormat="1" applyFont="1"/>
    <xf numFmtId="10" fontId="273" fillId="0" borderId="0" xfId="0" applyNumberFormat="1" applyFont="1" applyFill="1"/>
    <xf numFmtId="173" fontId="273" fillId="2" borderId="88" xfId="0" applyNumberFormat="1" applyFont="1" applyFill="1" applyBorder="1"/>
    <xf numFmtId="173" fontId="273" fillId="2" borderId="87" xfId="0" applyNumberFormat="1" applyFont="1" applyFill="1" applyBorder="1"/>
    <xf numFmtId="2" fontId="273" fillId="0" borderId="0" xfId="0" applyNumberFormat="1" applyFont="1" applyFill="1"/>
    <xf numFmtId="0" fontId="273" fillId="0" borderId="0" xfId="0" applyFont="1" applyBorder="1"/>
    <xf numFmtId="181" fontId="0" fillId="0" borderId="0" xfId="0" applyNumberFormat="1"/>
    <xf numFmtId="298" fontId="0" fillId="0" borderId="0" xfId="0" applyNumberFormat="1"/>
    <xf numFmtId="298" fontId="272" fillId="0" borderId="0" xfId="0" applyNumberFormat="1" applyFont="1"/>
    <xf numFmtId="298" fontId="2" fillId="0" borderId="0" xfId="0" applyNumberFormat="1" applyFont="1"/>
    <xf numFmtId="0" fontId="2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 indent="1"/>
    </xf>
    <xf numFmtId="3" fontId="18" fillId="0" borderId="27" xfId="0" applyNumberFormat="1" applyFont="1" applyBorder="1"/>
    <xf numFmtId="3" fontId="273" fillId="0" borderId="1" xfId="0" applyNumberFormat="1" applyFont="1" applyFill="1" applyBorder="1"/>
    <xf numFmtId="9" fontId="0" fillId="0" borderId="0" xfId="4387" applyFont="1"/>
    <xf numFmtId="171" fontId="272" fillId="0" borderId="0" xfId="0" applyNumberFormat="1" applyFont="1" applyAlignment="1">
      <alignment horizontal="right"/>
    </xf>
    <xf numFmtId="181" fontId="22" fillId="0" borderId="27" xfId="0" applyNumberFormat="1" applyFont="1" applyBorder="1" applyAlignment="1">
      <alignment horizontal="right"/>
    </xf>
    <xf numFmtId="177" fontId="0" fillId="0" borderId="0" xfId="0" quotePrefix="1" applyNumberFormat="1"/>
    <xf numFmtId="171" fontId="5" fillId="0" borderId="0" xfId="0" applyNumberFormat="1" applyFont="1" applyAlignment="1">
      <alignment horizontal="right"/>
    </xf>
    <xf numFmtId="301" fontId="4" fillId="0" borderId="0" xfId="0" applyNumberFormat="1" applyFont="1" applyAlignment="1">
      <alignment horizontal="right"/>
    </xf>
    <xf numFmtId="301" fontId="5" fillId="0" borderId="0" xfId="0" applyNumberFormat="1" applyFont="1" applyAlignment="1">
      <alignment horizontal="right"/>
    </xf>
    <xf numFmtId="8" fontId="4" fillId="0" borderId="0" xfId="0" applyNumberFormat="1" applyFont="1" applyAlignment="1">
      <alignment horizontal="right"/>
    </xf>
    <xf numFmtId="3" fontId="5" fillId="77" borderId="0" xfId="0" applyNumberFormat="1" applyFont="1" applyFill="1"/>
    <xf numFmtId="43" fontId="4" fillId="0" borderId="0" xfId="4386" applyFont="1"/>
    <xf numFmtId="0" fontId="0" fillId="77" borderId="0" xfId="0" applyFill="1"/>
    <xf numFmtId="0" fontId="2" fillId="77" borderId="0" xfId="0" applyFont="1" applyFill="1"/>
    <xf numFmtId="0" fontId="273" fillId="77" borderId="0" xfId="0" applyFont="1" applyFill="1"/>
    <xf numFmtId="180" fontId="273" fillId="77" borderId="0" xfId="0" applyNumberFormat="1" applyFont="1" applyFill="1"/>
    <xf numFmtId="172" fontId="273" fillId="77" borderId="0" xfId="0" applyNumberFormat="1" applyFont="1" applyFill="1"/>
    <xf numFmtId="0" fontId="2" fillId="77" borderId="0" xfId="0" applyFont="1" applyFill="1" applyBorder="1"/>
    <xf numFmtId="0" fontId="2" fillId="77" borderId="27" xfId="0" applyFont="1" applyFill="1" applyBorder="1"/>
    <xf numFmtId="302" fontId="273" fillId="77" borderId="0" xfId="0" applyNumberFormat="1" applyFont="1" applyFill="1" applyAlignment="1">
      <alignment horizontal="center"/>
    </xf>
    <xf numFmtId="302" fontId="0" fillId="77" borderId="0" xfId="4386" applyNumberFormat="1" applyFont="1" applyFill="1" applyAlignment="1">
      <alignment horizontal="center"/>
    </xf>
    <xf numFmtId="302" fontId="2" fillId="77" borderId="27" xfId="4386" applyNumberFormat="1" applyFont="1" applyFill="1" applyBorder="1" applyAlignment="1">
      <alignment horizontal="center"/>
    </xf>
    <xf numFmtId="302" fontId="2" fillId="77" borderId="0" xfId="4386" applyNumberFormat="1" applyFont="1" applyFill="1" applyBorder="1" applyAlignment="1">
      <alignment horizontal="center"/>
    </xf>
    <xf numFmtId="172" fontId="0" fillId="77" borderId="0" xfId="4387" applyNumberFormat="1" applyFont="1" applyFill="1" applyAlignment="1">
      <alignment horizontal="center"/>
    </xf>
    <xf numFmtId="43" fontId="0" fillId="77" borderId="0" xfId="0" applyNumberFormat="1" applyFill="1" applyAlignment="1">
      <alignment horizontal="center"/>
    </xf>
    <xf numFmtId="0" fontId="0" fillId="77" borderId="0" xfId="0" applyFill="1" applyAlignment="1">
      <alignment horizontal="center"/>
    </xf>
    <xf numFmtId="302" fontId="0" fillId="77" borderId="0" xfId="0" applyNumberFormat="1" applyFill="1" applyAlignment="1">
      <alignment horizontal="center"/>
    </xf>
    <xf numFmtId="253" fontId="0" fillId="77" borderId="27" xfId="0" applyNumberFormat="1" applyFont="1" applyFill="1" applyBorder="1" applyAlignment="1">
      <alignment horizontal="center"/>
    </xf>
    <xf numFmtId="0" fontId="2" fillId="77" borderId="0" xfId="0" applyFont="1" applyFill="1" applyAlignment="1">
      <alignment horizontal="center"/>
    </xf>
    <xf numFmtId="43" fontId="2" fillId="77" borderId="0" xfId="0" applyNumberFormat="1" applyFont="1" applyFill="1" applyAlignment="1">
      <alignment horizontal="center"/>
    </xf>
    <xf numFmtId="0" fontId="2" fillId="77" borderId="0" xfId="0" applyFont="1" applyFill="1" applyBorder="1" applyAlignment="1">
      <alignment horizontal="center"/>
    </xf>
    <xf numFmtId="302" fontId="273" fillId="77" borderId="0" xfId="4386" applyNumberFormat="1" applyFont="1" applyFill="1" applyBorder="1" applyAlignment="1">
      <alignment horizontal="center"/>
    </xf>
    <xf numFmtId="0" fontId="2" fillId="77" borderId="27" xfId="0" applyFont="1" applyFill="1" applyBorder="1" applyAlignment="1">
      <alignment horizontal="center"/>
    </xf>
    <xf numFmtId="9" fontId="2" fillId="77" borderId="0" xfId="0" applyNumberFormat="1" applyFont="1" applyFill="1" applyAlignment="1">
      <alignment horizontal="center"/>
    </xf>
    <xf numFmtId="302" fontId="274" fillId="77" borderId="27" xfId="4386" applyNumberFormat="1" applyFont="1" applyFill="1" applyBorder="1" applyAlignment="1">
      <alignment horizontal="center"/>
    </xf>
    <xf numFmtId="0" fontId="1" fillId="78" borderId="0" xfId="0" applyFont="1" applyFill="1"/>
    <xf numFmtId="0" fontId="3" fillId="78" borderId="0" xfId="0" applyFont="1" applyFill="1"/>
    <xf numFmtId="3" fontId="272" fillId="76" borderId="0" xfId="0" applyNumberFormat="1" applyFont="1" applyFill="1" applyAlignment="1">
      <alignment horizontal="right"/>
    </xf>
    <xf numFmtId="172" fontId="276" fillId="0" borderId="0" xfId="0" applyNumberFormat="1" applyFont="1" applyAlignment="1">
      <alignment horizontal="right"/>
    </xf>
    <xf numFmtId="0" fontId="7" fillId="11" borderId="0" xfId="0" applyFont="1" applyFill="1"/>
    <xf numFmtId="0" fontId="2" fillId="11" borderId="3" xfId="0" applyFont="1" applyFill="1" applyBorder="1"/>
    <xf numFmtId="176" fontId="2" fillId="11" borderId="4" xfId="0" applyNumberFormat="1" applyFont="1" applyFill="1" applyBorder="1"/>
    <xf numFmtId="3" fontId="273" fillId="0" borderId="0" xfId="0" applyNumberFormat="1" applyFont="1" applyFill="1" applyAlignment="1">
      <alignment horizontal="center"/>
    </xf>
    <xf numFmtId="9" fontId="273" fillId="0" borderId="0" xfId="0" applyNumberFormat="1" applyFont="1" applyFill="1" applyAlignment="1">
      <alignment horizontal="center"/>
    </xf>
    <xf numFmtId="0" fontId="0" fillId="11" borderId="0" xfId="0" applyFill="1"/>
    <xf numFmtId="0" fontId="2" fillId="11" borderId="0" xfId="0" applyFont="1" applyFill="1"/>
    <xf numFmtId="3" fontId="0" fillId="11" borderId="0" xfId="0" applyNumberFormat="1" applyFill="1"/>
    <xf numFmtId="4" fontId="3" fillId="78" borderId="0" xfId="0" applyNumberFormat="1" applyFont="1" applyFill="1"/>
    <xf numFmtId="0" fontId="279" fillId="0" borderId="0" xfId="0" applyFont="1"/>
    <xf numFmtId="0" fontId="278" fillId="0" borderId="0" xfId="0" applyFont="1"/>
    <xf numFmtId="0" fontId="279" fillId="0" borderId="0" xfId="0" applyFont="1" applyAlignment="1">
      <alignment horizontal="left" indent="1"/>
    </xf>
    <xf numFmtId="3" fontId="279" fillId="0" borderId="0" xfId="0" applyNumberFormat="1" applyFont="1" applyFill="1"/>
    <xf numFmtId="0" fontId="280" fillId="0" borderId="0" xfId="0" applyFont="1"/>
    <xf numFmtId="0" fontId="281" fillId="0" borderId="0" xfId="0" applyFont="1"/>
    <xf numFmtId="0" fontId="279" fillId="0" borderId="0" xfId="0" applyFont="1" applyFill="1"/>
    <xf numFmtId="0" fontId="0" fillId="77" borderId="0" xfId="0" applyFill="1" applyAlignment="1">
      <alignment horizontal="left" indent="1"/>
    </xf>
    <xf numFmtId="181" fontId="2" fillId="0" borderId="27" xfId="0" applyNumberFormat="1" applyFont="1" applyBorder="1" applyAlignment="1">
      <alignment horizontal="left" indent="1"/>
    </xf>
    <xf numFmtId="299" fontId="0" fillId="11" borderId="0" xfId="0" applyNumberFormat="1" applyFill="1"/>
    <xf numFmtId="0" fontId="273" fillId="0" borderId="0" xfId="0" applyFont="1"/>
    <xf numFmtId="3" fontId="273" fillId="0" borderId="0" xfId="0" applyNumberFormat="1" applyFont="1"/>
    <xf numFmtId="3" fontId="273" fillId="0" borderId="0" xfId="0" applyNumberFormat="1" applyFont="1" applyFill="1"/>
    <xf numFmtId="0" fontId="1" fillId="78" borderId="0" xfId="0" quotePrefix="1" applyFont="1" applyFill="1" applyAlignment="1">
      <alignment horizontal="center"/>
    </xf>
    <xf numFmtId="3" fontId="273" fillId="0" borderId="0" xfId="0" applyNumberFormat="1" applyFont="1" applyAlignment="1">
      <alignment horizontal="right"/>
    </xf>
    <xf numFmtId="9" fontId="272" fillId="0" borderId="0" xfId="0" applyNumberFormat="1" applyFont="1" applyAlignment="1">
      <alignment horizontal="right"/>
    </xf>
    <xf numFmtId="171" fontId="273" fillId="0" borderId="0" xfId="0" applyNumberFormat="1" applyFont="1" applyAlignment="1">
      <alignment horizontal="right"/>
    </xf>
    <xf numFmtId="172" fontId="273" fillId="0" borderId="0" xfId="0" applyNumberFormat="1" applyFont="1"/>
    <xf numFmtId="4" fontId="273" fillId="0" borderId="0" xfId="0" applyNumberFormat="1" applyFont="1"/>
    <xf numFmtId="9" fontId="273" fillId="0" borderId="0" xfId="0" applyNumberFormat="1" applyFont="1"/>
    <xf numFmtId="179" fontId="273" fillId="0" borderId="0" xfId="0" applyNumberFormat="1" applyFont="1"/>
    <xf numFmtId="176" fontId="14" fillId="0" borderId="0" xfId="0" applyNumberFormat="1" applyFont="1" applyAlignment="1">
      <alignment horizontal="center"/>
    </xf>
    <xf numFmtId="43" fontId="17" fillId="0" borderId="0" xfId="4386" applyFont="1" applyAlignment="1">
      <alignment horizontal="right"/>
    </xf>
    <xf numFmtId="0" fontId="2" fillId="0" borderId="0" xfId="0" applyFont="1" applyFill="1" applyBorder="1"/>
    <xf numFmtId="9" fontId="2" fillId="0" borderId="0" xfId="4387" applyFont="1"/>
    <xf numFmtId="172" fontId="17" fillId="0" borderId="0" xfId="0" applyNumberFormat="1" applyFont="1"/>
    <xf numFmtId="9" fontId="5" fillId="77" borderId="0" xfId="4387" applyFont="1" applyFill="1"/>
    <xf numFmtId="0" fontId="0" fillId="77" borderId="0" xfId="0" applyFont="1" applyFill="1"/>
    <xf numFmtId="3" fontId="0" fillId="77" borderId="0" xfId="0" applyNumberFormat="1" applyFill="1"/>
    <xf numFmtId="0" fontId="283" fillId="78" borderId="0" xfId="0" applyFont="1" applyFill="1"/>
    <xf numFmtId="0" fontId="1" fillId="78" borderId="0" xfId="0" applyFont="1" applyFill="1" applyAlignment="1">
      <alignment horizontal="center"/>
    </xf>
    <xf numFmtId="9" fontId="0" fillId="77" borderId="0" xfId="0" applyNumberFormat="1" applyFill="1"/>
    <xf numFmtId="0" fontId="0" fillId="77" borderId="0" xfId="0" applyFont="1" applyFill="1" applyBorder="1"/>
    <xf numFmtId="3" fontId="0" fillId="77" borderId="0" xfId="0" applyNumberFormat="1" applyFill="1" applyBorder="1"/>
    <xf numFmtId="9" fontId="0" fillId="77" borderId="0" xfId="0" applyNumberFormat="1" applyFill="1" applyBorder="1"/>
    <xf numFmtId="3" fontId="2" fillId="77" borderId="0" xfId="0" applyNumberFormat="1" applyFont="1" applyFill="1" applyBorder="1"/>
    <xf numFmtId="9" fontId="2" fillId="77" borderId="0" xfId="0" applyNumberFormat="1" applyFont="1" applyFill="1" applyBorder="1"/>
    <xf numFmtId="302" fontId="0" fillId="77" borderId="0" xfId="0" applyNumberFormat="1" applyFont="1" applyFill="1" applyAlignment="1">
      <alignment horizontal="center"/>
    </xf>
    <xf numFmtId="172" fontId="17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172" fontId="19" fillId="0" borderId="0" xfId="0" applyNumberFormat="1" applyFont="1" applyAlignment="1">
      <alignment horizontal="right"/>
    </xf>
    <xf numFmtId="2" fontId="272" fillId="0" borderId="0" xfId="0" applyNumberFormat="1" applyFont="1"/>
    <xf numFmtId="10" fontId="5" fillId="0" borderId="0" xfId="0" applyNumberFormat="1" applyFont="1" applyBorder="1" applyAlignment="1">
      <alignment horizontal="center"/>
    </xf>
    <xf numFmtId="10" fontId="273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72" fontId="273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7" fillId="76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left" indent="1"/>
    </xf>
    <xf numFmtId="176" fontId="2" fillId="0" borderId="0" xfId="0" applyNumberFormat="1" applyFont="1"/>
    <xf numFmtId="181" fontId="0" fillId="0" borderId="0" xfId="4386" applyNumberFormat="1" applyFont="1"/>
    <xf numFmtId="303" fontId="0" fillId="0" borderId="0" xfId="0" applyNumberFormat="1"/>
    <xf numFmtId="0" fontId="3" fillId="78" borderId="0" xfId="0" applyFont="1" applyFill="1" applyAlignment="1">
      <alignment horizontal="center"/>
    </xf>
  </cellXfs>
  <cellStyles count="4388">
    <cellStyle name="_x0004_" xfId="15"/>
    <cellStyle name="-" xfId="16"/>
    <cellStyle name=" 1" xfId="17"/>
    <cellStyle name=" Writer Import]_x000d__x000a_Display Dialog=No_x000d__x000a__x000d__x000a_[Horizontal Arrange]_x000d__x000a_Dimensions Interlocking=Yes_x000d__x000a_Sum Hierarchy=Yes_x000d__x000a_Generate" xfId="18"/>
    <cellStyle name="_x000d__x000a_JournalTemplate=C:\COMFO\CTALK\JOURSTD.TPL_x000d__x000a_LbStateAddress=3 3 0 251 1 89 2 311_x000d__x000a_LbStateJou" xfId="19"/>
    <cellStyle name="# ###" xfId="20"/>
    <cellStyle name="$" xfId="21"/>
    <cellStyle name="$K" xfId="22"/>
    <cellStyle name="%" xfId="23"/>
    <cellStyle name="% 2" xfId="24"/>
    <cellStyle name="******************************************" xfId="25"/>
    <cellStyle name="??" xfId="26"/>
    <cellStyle name="?? [0]_??" xfId="27"/>
    <cellStyle name="???[0]_~ME0858" xfId="28"/>
    <cellStyle name="???_~ME0858" xfId="29"/>
    <cellStyle name="??[0]_laroux" xfId="30"/>
    <cellStyle name="??_?.????" xfId="31"/>
    <cellStyle name="\" xfId="32"/>
    <cellStyle name="_%(SignOnly)" xfId="33"/>
    <cellStyle name="_%(SignOnly)_BLS2q_salesforce" xfId="34"/>
    <cellStyle name="_%(SignSpaceOnly)" xfId="35"/>
    <cellStyle name="_%(SignSpaceOnly)_BLS2q_salesforce" xfId="36"/>
    <cellStyle name="_600-7R093-0000-C00 RevH Costed BOM 20060928" xfId="37"/>
    <cellStyle name="_600-7R162-0000-A00 Costed BOM 20070212" xfId="38"/>
    <cellStyle name="_960-10093-1900-001 EVGA RevC" xfId="39"/>
    <cellStyle name="_960-10093-1900-001 EVGA RevC20061024" xfId="40"/>
    <cellStyle name="_Airquote - DELL chasis (FP)" xfId="41"/>
    <cellStyle name="_Airquote - DELL chasis (FP)_Lenovo PACK  Packing Proposal" xfId="42"/>
    <cellStyle name="_Airquote - DELL chasis (FP)_Lenovo Park Format_July 07 05" xfId="43"/>
    <cellStyle name="_Airquote - DELL chasis (FP)_Lenovo Park Format_July 07 05V2" xfId="44"/>
    <cellStyle name="_Alienware CBOM_PPV by SCM Update 070314" xfId="45"/>
    <cellStyle name="_Alienware SDSS#1175 CBOM - 1214" xfId="46"/>
    <cellStyle name="_Balance Sheet July 9 IFRS Sept 18" xfId="47"/>
    <cellStyle name="_Balvenie Package shipment info.2" xfId="48"/>
    <cellStyle name="_Balvenie Package shipment info.2_Lenovo PACK  Packing Proposal" xfId="49"/>
    <cellStyle name="_Balvenie Package shipment info.2_Lenovo Park Format_July 07 05" xfId="50"/>
    <cellStyle name="_Balvenie Package shipment info.2_Lenovo Park Format_July 07 05V2" xfId="51"/>
    <cellStyle name="_BOM update - Supplier List (Purchase) 111102" xfId="52"/>
    <cellStyle name="_BOM update - Supplier List (Purchase) 111102_Lenovo PACK  Packing Proposal" xfId="53"/>
    <cellStyle name="_BOM update - Supplier List (Purchase) 111102_Lenovo Park Format_July 07 05" xfId="54"/>
    <cellStyle name="_BOM update - Supplier List (Purchase) 111102_Lenovo Park Format_July 07 05V2" xfId="55"/>
    <cellStyle name="_bom updated on 2002-11-10" xfId="56"/>
    <cellStyle name="_bom updated on 2002-11-10_Lenovo PACK  Packing Proposal" xfId="57"/>
    <cellStyle name="_bom updated on 2002-11-10_Lenovo Park Format_July 07 05" xfId="58"/>
    <cellStyle name="_bom updated on 2002-11-10_Lenovo Park Format_July 07 05V2" xfId="59"/>
    <cellStyle name="_bom updated on 2002-11-10-1" xfId="60"/>
    <cellStyle name="_bom updated on 2002-11-10-1_Lenovo PACK  Packing Proposal" xfId="61"/>
    <cellStyle name="_bom updated on 2002-11-10-1_Lenovo Park Format_July 07 05" xfId="62"/>
    <cellStyle name="_bom updated on 2002-11-10-1_Lenovo Park Format_July 07 05V2" xfId="63"/>
    <cellStyle name="_Budgetary Quote for VOIP Telephones" xfId="64"/>
    <cellStyle name="_Budgetary Quote for VOIP Telephones_Lenovo PACK  Packing Proposal" xfId="65"/>
    <cellStyle name="_Budgetary Quote for VOIP Telephones_Lenovo Park Format_July 07 05" xfId="66"/>
    <cellStyle name="_Budgetary Quote for VOIP Telephones_Lenovo Park Format_July 07 05V2" xfId="67"/>
    <cellStyle name="_Comma" xfId="68"/>
    <cellStyle name="_Comma_03 Contribution Analysis" xfId="69"/>
    <cellStyle name="_Comma_BLS2q_salesforce" xfId="70"/>
    <cellStyle name="_Comma_Contribution of assets into USAi_02" xfId="71"/>
    <cellStyle name="_Comma_credit - newco_6_18" xfId="72"/>
    <cellStyle name="_Comma_CSC Cable makers 060502" xfId="73"/>
    <cellStyle name="_Comma_Final Pages 8-20" xfId="74"/>
    <cellStyle name="_Comma_Final Pages 8-20_BLS2q_salesforce" xfId="75"/>
    <cellStyle name="_Comma_further analysis on comparables" xfId="76"/>
    <cellStyle name="_Comma_further analysis on comparables_BLS2q_salesforce" xfId="77"/>
    <cellStyle name="_Comma_NBC-5 yearDCF-Final from Vivendi modified" xfId="78"/>
    <cellStyle name="_Comma_Training Model Shell" xfId="79"/>
    <cellStyle name="_Comma_Update 08-27-01-3" xfId="80"/>
    <cellStyle name="_Copy of Exhibit A QUOTE FORMAT_Rev1-0525_Jason-1 (Cost)" xfId="81"/>
    <cellStyle name="_cost analysis" xfId="82"/>
    <cellStyle name="_Cost analysis template" xfId="83"/>
    <cellStyle name="_Cost analysis template_Lenovo PACK  Packing Proposal" xfId="84"/>
    <cellStyle name="_Cost analysis template_Lenovo Park Format_July 07 05" xfId="85"/>
    <cellStyle name="_Cost analysis template_Lenovo Park Format_July 07 05V2" xfId="86"/>
    <cellStyle name="_Cost Analysis Template-1" xfId="87"/>
    <cellStyle name="_Cost Analysis Template-1_Lenovo PACK  Packing Proposal" xfId="88"/>
    <cellStyle name="_Cost Analysis Template-1_Lenovo Park Format_July 07 05" xfId="89"/>
    <cellStyle name="_Cost Analysis Template-1_Lenovo Park Format_July 07 05V2" xfId="90"/>
    <cellStyle name="_Cost BOM" xfId="91"/>
    <cellStyle name="_Currency" xfId="92"/>
    <cellStyle name="_Currency_03 Contribution Analysis" xfId="93"/>
    <cellStyle name="_Currency_08 FB &amp; Milan IS" xfId="94"/>
    <cellStyle name="_Currency_Basic LBO v06" xfId="95"/>
    <cellStyle name="_Currency_BLS2q_salesforce" xfId="96"/>
    <cellStyle name="_Currency_Contribution of assets into USAi_02" xfId="97"/>
    <cellStyle name="_Currency_credit - newco_6_18" xfId="98"/>
    <cellStyle name="_Currency_credit - newco_6_18_BLS2q_salesforce" xfId="99"/>
    <cellStyle name="_Currency_CSC Cable makers 060502" xfId="100"/>
    <cellStyle name="_Currency_Final Pages 8-20" xfId="101"/>
    <cellStyle name="_Currency_Final Pages 8-20_BLS2q_salesforce" xfId="102"/>
    <cellStyle name="_Currency_further analysis on comparables" xfId="103"/>
    <cellStyle name="_Currency_further analysis on comparables_BLS2q_salesforce" xfId="104"/>
    <cellStyle name="_Currency_merger_plans (Jason Cho) - solution" xfId="105"/>
    <cellStyle name="_Currency_MVL 2005-2007 IS v04" xfId="106"/>
    <cellStyle name="_Currency_NBC-5 yearDCF-Final from Vivendi modified" xfId="107"/>
    <cellStyle name="_Currency_Oakley Model v13" xfId="108"/>
    <cellStyle name="_Currency_Pirelli Valo" xfId="109"/>
    <cellStyle name="_Currency_Preliminary Model 30 06 00" xfId="110"/>
    <cellStyle name="_Currency_TK - Training Model" xfId="111"/>
    <cellStyle name="_Currency_Training Model Shell" xfId="112"/>
    <cellStyle name="_Currency_Training Model Shell_BLS2q_salesforce" xfId="113"/>
    <cellStyle name="_Currency_Update 08-27-01-3" xfId="114"/>
    <cellStyle name="_Currency_Update 08-27-01-3_BLS2q_salesforce" xfId="115"/>
    <cellStyle name="_Currency_Vison Ease v09" xfId="116"/>
    <cellStyle name="_Currency_Warrants Valuation Model" xfId="117"/>
    <cellStyle name="_CurrencySpace" xfId="118"/>
    <cellStyle name="_CurrencySpace_03 Contribution Analysis" xfId="119"/>
    <cellStyle name="_CurrencySpace_08 FB &amp; Milan IS" xfId="120"/>
    <cellStyle name="_CurrencySpace_BLS2q_salesforce" xfId="121"/>
    <cellStyle name="_CurrencySpace_Contribution of assets into USAi_02" xfId="122"/>
    <cellStyle name="_CurrencySpace_credit - newco_6_18" xfId="123"/>
    <cellStyle name="_CurrencySpace_CSC Cable makers 060502" xfId="124"/>
    <cellStyle name="_CurrencySpace_Final Pages 8-20" xfId="125"/>
    <cellStyle name="_CurrencySpace_Final Pages 8-20_BLS2q_salesforce" xfId="126"/>
    <cellStyle name="_CurrencySpace_further analysis on comparables" xfId="127"/>
    <cellStyle name="_CurrencySpace_further analysis on comparables_BLS2q_salesforce" xfId="128"/>
    <cellStyle name="_CurrencySpace_NBC-5 yearDCF-Final from Vivendi modified" xfId="129"/>
    <cellStyle name="_CurrencySpace_NEP Model v20" xfId="130"/>
    <cellStyle name="_CurrencySpace_Oakley Model v13" xfId="131"/>
    <cellStyle name="_CurrencySpace_TK - Training Model" xfId="132"/>
    <cellStyle name="_CurrencySpace_Training Model Shell" xfId="133"/>
    <cellStyle name="_CurrencySpace_Update 08-27-01-3" xfId="134"/>
    <cellStyle name="_CurrencySpace_Vison Ease v09" xfId="135"/>
    <cellStyle name="_DDU AFR (DM-Miami,USA) --Douglas 070315" xfId="136"/>
    <cellStyle name="_DDU SHA by LCL ocean&amp;air -- Tina Zang061227FYI" xfId="137"/>
    <cellStyle name="_DELL Field Returns Inventory 01Mar04'2" xfId="138"/>
    <cellStyle name="_DELL Field Returns Inventory 01Mar04'2_Lenovo PACK  Packing Proposal" xfId="139"/>
    <cellStyle name="_DELL Field Returns Inventory 01Mar04'2_Lenovo Park Format_July 07 05" xfId="140"/>
    <cellStyle name="_DELL Field Returns Inventory 01Mar04'2_Lenovo Park Format_July 07 05V2" xfId="141"/>
    <cellStyle name="_Dell Fields Return Cost Estimaton - 20040308" xfId="142"/>
    <cellStyle name="_Dell Fields Return Cost Estimaton - 20040308_Lenovo PACK  Packing Proposal" xfId="143"/>
    <cellStyle name="_Dell Fields Return Cost Estimaton - 20040308_Lenovo Park Format_July 07 05" xfId="144"/>
    <cellStyle name="_Dell Fields Return Cost Estimaton - 20040308_Lenovo Park Format_July 07 05V2" xfId="145"/>
    <cellStyle name="_Dell Kookaburra L10 Costing_Rev01 (Nov 23,2007)" xfId="146"/>
    <cellStyle name="_Dell MB APCC EMF Bax (Nov 25)" xfId="147"/>
    <cellStyle name="_Dell MB APCC EMF Bax (Nov 25)_Lenovo PACK  Packing Proposal" xfId="148"/>
    <cellStyle name="_Dell MB APCC EMF Bax (Nov 25)_Lenovo Park Format_July 07 05" xfId="149"/>
    <cellStyle name="_Dell MB APCC EMF Bax (Nov 25)_Lenovo Park Format_July 07 05V2" xfId="150"/>
    <cellStyle name="_Dell MB to AMF Frt Pricing - 20040309" xfId="151"/>
    <cellStyle name="_Dell MB to AMF Frt Pricing - 20040309_Lenovo PACK  Packing Proposal" xfId="152"/>
    <cellStyle name="_Dell MB to AMF Frt Pricing - 20040309_Lenovo Park Format_July 07 05" xfId="153"/>
    <cellStyle name="_Dell MB to AMF Frt Pricing - 20040309_Lenovo Park Format_July 07 05V2" xfId="154"/>
    <cellStyle name="_Dell MB to AMF Pricing - 20040308" xfId="155"/>
    <cellStyle name="_Dell MB to AMF Pricing - 20040308_Lenovo PACK  Packing Proposal" xfId="156"/>
    <cellStyle name="_Dell MB to AMF Pricing - 20040308_Lenovo Park Format_July 07 05" xfId="157"/>
    <cellStyle name="_Dell MB to AMF Pricing - 20040308_Lenovo Park Format_July 07 05V2" xfId="158"/>
    <cellStyle name="_Dell Sneetch EE BOM COST0406-from GP-summary-revised" xfId="159"/>
    <cellStyle name="_EMC Koto DDP Durham - 20040707" xfId="160"/>
    <cellStyle name="_EMC Koto DDP Durham - 20040707_Lenovo PACK  Packing Proposal" xfId="161"/>
    <cellStyle name="_EMC Koto DDP Durham - 20040707_Lenovo Park Format_July 07 05" xfId="162"/>
    <cellStyle name="_EMC Koto DDP Durham - 20040707_Lenovo Park Format_July 07 05V2" xfId="163"/>
    <cellStyle name="_Euro" xfId="164"/>
    <cellStyle name="_Euro_BLS2q_salesforce" xfId="165"/>
    <cellStyle name="_freight  hub cost-7-281" xfId="166"/>
    <cellStyle name="_freight  hub cost-7-281_Lenovo PACK  Packing Proposal" xfId="167"/>
    <cellStyle name="_freight  hub cost-7-281_Lenovo Park Format_July 07 05" xfId="168"/>
    <cellStyle name="_freight  hub cost-7-281_Lenovo Park Format_July 07 05V2" xfId="169"/>
    <cellStyle name="_freight cost-7-12" xfId="170"/>
    <cellStyle name="_freight cost-7-12_Lenovo PACK  Packing Proposal" xfId="171"/>
    <cellStyle name="_freight cost-7-12_Lenovo Park Format_July 07 05" xfId="172"/>
    <cellStyle name="_freight cost-7-12_Lenovo Park Format_July 07 05V2" xfId="173"/>
    <cellStyle name="_GH4 360 Cost BOM-Apr-23-2008" xfId="174"/>
    <cellStyle name="_HDD Quote Doumen Summary v2_0703013-billy add packing size" xfId="175"/>
    <cellStyle name="_Heading" xfId="176"/>
    <cellStyle name="_Heading_01 VU Liquidity 171202" xfId="177"/>
    <cellStyle name="_Heading_18 Management Projections" xfId="178"/>
    <cellStyle name="_Heading_20080616_Ownership Structure Walk-Up" xfId="179"/>
    <cellStyle name="_Heading_210302 VU Liquidity new figures" xfId="180"/>
    <cellStyle name="_Heading_prestemp" xfId="181"/>
    <cellStyle name="_Heading_Tribune Consolidated Model v578" xfId="182"/>
    <cellStyle name="_Headline" xfId="183"/>
    <cellStyle name="_Highlight" xfId="184"/>
    <cellStyle name="_Highlight 10" xfId="185"/>
    <cellStyle name="_Highlight 11" xfId="186"/>
    <cellStyle name="_Highlight 12" xfId="187"/>
    <cellStyle name="_Highlight 2" xfId="188"/>
    <cellStyle name="_Highlight 3" xfId="189"/>
    <cellStyle name="_Highlight 4" xfId="190"/>
    <cellStyle name="_Highlight 5" xfId="191"/>
    <cellStyle name="_Highlight 6" xfId="192"/>
    <cellStyle name="_Highlight 7" xfId="193"/>
    <cellStyle name="_Highlight 8" xfId="194"/>
    <cellStyle name="_Highlight 9" xfId="195"/>
    <cellStyle name="_HJF-6C0066" xfId="196"/>
    <cellStyle name="_HP bPC OFR (050912)" xfId="197"/>
    <cellStyle name="_Hub and Truck and  Ocean rate to Shanghai (Dazhong hub) 060920 revised- to Steven" xfId="198"/>
    <cellStyle name="_IBM ex DM (ORF_TFR)040719" xfId="199"/>
    <cellStyle name="_IBM ex DM (ORF_TFR)040719_Lenovo PACK  Packing Proposal" xfId="200"/>
    <cellStyle name="_IBM ex DM (ORF_TFR)040719_Lenovo Park Format_July 07 05" xfId="201"/>
    <cellStyle name="_IBM ex DM (ORF_TFR)040719_Lenovo Park Format_July 07 05V2" xfId="202"/>
    <cellStyle name="_IBM ex DM (ORF_TFR)040818" xfId="203"/>
    <cellStyle name="_IBM ex DM (ORF_TFR)040818_Lenovo PACK  Packing Proposal" xfId="204"/>
    <cellStyle name="_IBM ex DM (ORF_TFR)040818_Lenovo Park Format_July 07 05" xfId="205"/>
    <cellStyle name="_IBM ex DM (ORF_TFR)040818_Lenovo Park Format_July 07 05V2" xfId="206"/>
    <cellStyle name="_IBM Ocean Freight quoting - 20040714" xfId="207"/>
    <cellStyle name="_IBM Ocean Freight quoting - 20040714_Lenovo PACK  Packing Proposal" xfId="208"/>
    <cellStyle name="_IBM Ocean Freight quoting - 20040714_Lenovo Park Format_July 07 05" xfId="209"/>
    <cellStyle name="_IBM Ocean Freight quoting - 20040714_Lenovo Park Format_July 07 05V2" xfId="210"/>
    <cellStyle name="_IBM Ocean Freight quoting - 20040719" xfId="211"/>
    <cellStyle name="_IBM Ocean Freight quoting - 20040719_Lenovo PACK  Packing Proposal" xfId="212"/>
    <cellStyle name="_IBM Ocean Freight quoting - 20040719_Lenovo Park Format_July 07 05" xfId="213"/>
    <cellStyle name="_IBM Ocean Freight quoting - 20040719_Lenovo Park Format_July 07 05V2" xfId="214"/>
    <cellStyle name="_IBM Ocean Freight quoting - 20040728-40'HC" xfId="215"/>
    <cellStyle name="_IBM Ocean Freight quoting - 20040728-40'HC_Lenovo PACK  Packing Proposal" xfId="216"/>
    <cellStyle name="_IBM Ocean Freight quoting - 20040728-40'HC_Lenovo Park Format_July 07 05" xfId="217"/>
    <cellStyle name="_IBM Ocean Freight quoting - 20040728-40'HC_Lenovo Park Format_July 07 05V2" xfId="218"/>
    <cellStyle name="_IE Model -- Connector Male WS (3.25.2008)" xfId="219"/>
    <cellStyle name="_IE Model -- -Control-V1 WS(5.8.2008)" xfId="220"/>
    <cellStyle name="_IE Model - Dell Sneeth MB 550K for 8Q (2508 components)" xfId="221"/>
    <cellStyle name="_IE Model -- D-Pad PCBA (3.25.2008)" xfId="222"/>
    <cellStyle name="_IE Model -- GH4 BoxBuild (Mar.25.2008)" xfId="223"/>
    <cellStyle name="_IE Model -- MB PCBA (3.25.2008)" xfId="224"/>
    <cellStyle name="_IE Model -- MB SMT(5.8.2008)" xfId="225"/>
    <cellStyle name="_IE Model -- MB WS (3.25.2008)" xfId="226"/>
    <cellStyle name="_IE Model -- MB WS(5.8.2008)" xfId="227"/>
    <cellStyle name="_IE Model -- Neck Connector Female WS (3.25.2008)" xfId="228"/>
    <cellStyle name="_IE Model -- PMD WS (3.25.2008)" xfId="229"/>
    <cellStyle name="_IE Model -- RJ-11 WS (3.25.2008)" xfId="230"/>
    <cellStyle name="_IE Model -- Slider PCBA (3.25.2008)" xfId="231"/>
    <cellStyle name="_IE Model -- Strum WS (3.25.2008)" xfId="232"/>
    <cellStyle name="_IE Model -- Synth PCBA(5.8.2008)" xfId="233"/>
    <cellStyle name="_IE Model -- Synth WS(5.8.2008)" xfId="234"/>
    <cellStyle name="_IE Model --Alienware 051101" xfId="235"/>
    <cellStyle name="_IE Model --Alienware 051102" xfId="236"/>
    <cellStyle name="_IE Model --Alienware 051103" xfId="237"/>
    <cellStyle name="_IE Model --Alienware 051104" xfId="238"/>
    <cellStyle name="_IE Model --AMD UVC project" xfId="239"/>
    <cellStyle name="_IE Model --Backplane 012907-001(Aug.21.07)" xfId="240"/>
    <cellStyle name="_IE Model --BB(5.8.2008)" xfId="241"/>
    <cellStyle name="_IE Model --Beibei SAS Backplane (July.25.07)" xfId="242"/>
    <cellStyle name="_IE Model --Control-V1 SMT(5.8.2008)" xfId="243"/>
    <cellStyle name="_IE Model --Cymbal WS(5.8.2008)" xfId="244"/>
    <cellStyle name="_IE Model --Dell heiden Mar. 1(150K per month)" xfId="245"/>
    <cellStyle name="_IE Model --Dell heiden(150K)" xfId="246"/>
    <cellStyle name="_IE Model --Dell Klammer motherboard (Jul 10, 07) Doug Edit" xfId="247"/>
    <cellStyle name="_IE Model --Dell Klammer motherboard (Jul 17, 07) Doug Edit" xfId="248"/>
    <cellStyle name="_IE Model --Dell Klammer motherboard(Apr.23,07)" xfId="249"/>
    <cellStyle name="_IE Model --Dell Kookaburra Backplane RevA (Nov 22, 2007)" xfId="250"/>
    <cellStyle name="_IE Model --Dell Kookaburra MB PCBA RevA (Nov 22,2007)" xfId="251"/>
    <cellStyle name="_IE Model --Dell Kookaburra Riser card RevA (Nov 22, 2007)" xfId="252"/>
    <cellStyle name="_IE Model --Dell Kookaburra SI RevA (Nov 22,2007)" xfId="253"/>
    <cellStyle name="_IE Model --Fan interface PCA  012513-501(Aug.22.07)" xfId="254"/>
    <cellStyle name="_IE Model --HP 7Seg (Apr.27,07)_Updated 070507" xfId="255"/>
    <cellStyle name="_IE Model --HP MB Performance(Aug.06.07)" xfId="256"/>
    <cellStyle name="_IE Model --HP MB Value(Aug.06.07)" xfId="257"/>
    <cellStyle name="_IE Model --HP ML150-G4" xfId="258"/>
    <cellStyle name="_IE Model --HP River Gunnison (Jun 21 07)" xfId="259"/>
    <cellStyle name="_IE Model --HP River MB Low (May.28.07)" xfId="260"/>
    <cellStyle name="_IE Model --HP River MB Mid-range (May.29.07)" xfId="261"/>
    <cellStyle name="_IE Model --IBM Backplane RevA (Nov 26, 2007)" xfId="262"/>
    <cellStyle name="_IE Model --IBM BeiBei MB PCBA RevA (Nov 26,2007)" xfId="263"/>
    <cellStyle name="_IE Model --IO Board 012404-501(Aug.21.07)" xfId="264"/>
    <cellStyle name="_IE Model --IO(Apr.27,07)_Updated 070507" xfId="265"/>
    <cellStyle name="_IE Model --Lenovo Beibei Plan A(July.25.07)" xfId="266"/>
    <cellStyle name="_IE Model --Lenovo Beibei Plan B(July.25.07)" xfId="267"/>
    <cellStyle name="_IE Model --Levono Jingjing(July.25.07)" xfId="268"/>
    <cellStyle name="_IE Model --Midi WS(5.8.2008)" xfId="269"/>
    <cellStyle name="_IE Model --Midplane012903-001(Aug.21.07)" xfId="270"/>
    <cellStyle name="_IE Model --NVD C55" xfId="271"/>
    <cellStyle name="_IE Model --NVD p162" xfId="272"/>
    <cellStyle name="_IE Model --NVD P280 (4)" xfId="273"/>
    <cellStyle name="_IE Model --NVD P492(20K per Month)" xfId="274"/>
    <cellStyle name="_IE Model --PMD WS(5.8.2008)" xfId="275"/>
    <cellStyle name="_IE Model --Power UID PCA1  012438-502(Aug.21.07)" xfId="276"/>
    <cellStyle name="_IE Model --Power UID PCA2  012438-501(Aug.22.07)" xfId="277"/>
    <cellStyle name="_IE Model --RFQ-P355" xfId="278"/>
    <cellStyle name="_IE Model --RFQ-P355 (3)" xfId="279"/>
    <cellStyle name="_IE Model --Wacom BB Rev A" xfId="280"/>
    <cellStyle name="_IE Model --Wacom Inverter Board Rev A" xfId="281"/>
    <cellStyle name="_IE Model --Wacom Main PCBA Rev A" xfId="282"/>
    <cellStyle name="_IE Model --Wacom OSD SW board Rev A" xfId="283"/>
    <cellStyle name="_IE Model --Wacom Power SW board Rev A" xfId="284"/>
    <cellStyle name="_IE Model --Wacom Sensor control Board Rev A" xfId="285"/>
    <cellStyle name="_IE Model --Wacom USB Connector Board Rev A" xfId="286"/>
    <cellStyle name="_Katana Freight count" xfId="287"/>
    <cellStyle name="_Katana Freight count_Lenovo PACK  Packing Proposal" xfId="288"/>
    <cellStyle name="_Katana Freight count_Lenovo Park Format_July 07 05" xfId="289"/>
    <cellStyle name="_Katana Freight count_Lenovo Park Format_July 07 05V2" xfId="290"/>
    <cellStyle name="_KN-Flex Quotes Database 030306" xfId="291"/>
    <cellStyle name="_Lenovo PACK  Packing Proposal" xfId="292"/>
    <cellStyle name="_Lenovo Park Format_July 07 05" xfId="293"/>
    <cellStyle name="_Lenovo Park Format_July 07 05V2" xfId="294"/>
    <cellStyle name="_Logistic Cost analysis (DM-SHA for Quanta) -- Stig 061018" xfId="295"/>
    <cellStyle name="_Logistic Cost analysis (FOB HK) -- Hill 061023" xfId="296"/>
    <cellStyle name="_Logistic Cost analysis (FOB HK) -- Hill 061023 (3)" xfId="297"/>
    <cellStyle name="_Logistic cost analysis 1221_DM" xfId="298"/>
    <cellStyle name="_Logistic Cost analysis template - updated" xfId="299"/>
    <cellStyle name="_Motherboard Pricing 20030722" xfId="300"/>
    <cellStyle name="_Motherboard Pricing 20030722_Lenovo PACK  Packing Proposal" xfId="301"/>
    <cellStyle name="_Motherboard Pricing 20030722_Lenovo Park Format_July 07 05" xfId="302"/>
    <cellStyle name="_Motherboard Pricing 20030722_Lenovo Park Format_July 07 05V2" xfId="303"/>
    <cellStyle name="_MOTO SLIC300MP FOB HK Transport Pricing Targe Vol (R2)" xfId="304"/>
    <cellStyle name="_MOTO SLIC300MP FOB HK Transport Pricing Targe Vol (R2)_Lenovo PACK  Packing Proposal" xfId="305"/>
    <cellStyle name="_MOTO SLIC300MP FOB HK Transport Pricing Targe Vol (R2)_Lenovo Park Format_July 07 05" xfId="306"/>
    <cellStyle name="_MOTO SLIC300MP FOB HK Transport Pricing Targe Vol (R2)_Lenovo Park Format_July 07 05V2" xfId="307"/>
    <cellStyle name="_MOTO SLIC300MP FOB HK Transport Pricing Targe Vol (R2)_Salcomp FCA HK Transport Pricing Dec11" xfId="308"/>
    <cellStyle name="_MOTO SLIC300MP FOB HK Transport Pricing Targe Vol (R2)_Salcomp FCA HK Transport Pricing Dec11_Lenovo PACK  Packing Proposal" xfId="309"/>
    <cellStyle name="_MOTO SLIC300MP FOB HK Transport Pricing Targe Vol (R2)_Salcomp FCA HK Transport Pricing Dec11_Lenovo Park Format_July 07 05" xfId="310"/>
    <cellStyle name="_MOTO SLIC300MP FOB HK Transport Pricing Targe Vol (R2)_Salcomp FCA HK Transport Pricing Dec11_Lenovo Park Format_July 07 05V2" xfId="311"/>
    <cellStyle name="_MOTO SLIC300MP FOB HK Transport Pricing(Target Volume)" xfId="312"/>
    <cellStyle name="_MOTO SLIC300MP FOB HK Transport Pricing(Target Volume)_Lenovo PACK  Packing Proposal" xfId="313"/>
    <cellStyle name="_MOTO SLIC300MP FOB HK Transport Pricing(Target Volume)_Lenovo Park Format_July 07 05" xfId="314"/>
    <cellStyle name="_MOTO SLIC300MP FOB HK Transport Pricing(Target Volume)_Lenovo Park Format_July 07 05V2" xfId="315"/>
    <cellStyle name="_MOTO SLIC300MP FOB HK Transport Pricing(Target Volume)_Salcomp FCA HK Transport Pricing Dec11" xfId="316"/>
    <cellStyle name="_MOTO SLIC300MP FOB HK Transport Pricing(Target Volume)_Salcomp FCA HK Transport Pricing Dec11_Lenovo PACK  Packing Proposal" xfId="317"/>
    <cellStyle name="_MOTO SLIC300MP FOB HK Transport Pricing(Target Volume)_Salcomp FCA HK Transport Pricing Dec11_Lenovo Park Format_July 07 05" xfId="318"/>
    <cellStyle name="_MOTO SLIC300MP FOB HK Transport Pricing(Target Volume)_Salcomp FCA HK Transport Pricing Dec11_Lenovo Park Format_July 07 05V2" xfId="319"/>
    <cellStyle name="_Mozart BOM-Cost_06Apr05" xfId="320"/>
    <cellStyle name="_Mozart BOM-Cost_06Apr05_Lenovo PARK BOM Zero cost 705_05V2" xfId="321"/>
    <cellStyle name="_Mozart BOM-Cost_06Apr05_Lenovo PARK BOM Zero cost 705_05V2_Lenovo Park Format_July 07 05" xfId="322"/>
    <cellStyle name="_Mozart BOM-Cost_06Apr05_Lenovo PARK BOM Zero cost 705_05V2_Lenovo Park Format_July 07 05V2" xfId="323"/>
    <cellStyle name="_Mozart BOM-Cost_06Apr05_Lenovo Park Format (proposed Evans)" xfId="324"/>
    <cellStyle name="_Mozart BOM-Cost_06Apr05_Lenovo Park Format (proposed Evans)_Lenovo Park Format_July 07 05" xfId="325"/>
    <cellStyle name="_Mozart BOM-Cost_06Apr05_Lenovo Park Format (proposed Evans)_Lenovo Park Format_July 07 05V2" xfId="326"/>
    <cellStyle name="_Mozart BOM-Cost_06Apr05_Lenovo Park Format_July 07 05" xfId="327"/>
    <cellStyle name="_Mozart BOM-Cost_06Apr05_Lenovo Park Format_July 07 05V2" xfId="328"/>
    <cellStyle name="_Multiple" xfId="329"/>
    <cellStyle name="_Multiple_02 Pfd Valuation" xfId="330"/>
    <cellStyle name="_Multiple_03 Contribution Analysis" xfId="331"/>
    <cellStyle name="_Multiple_20080605_182 NewCo Agreement Model_v36" xfId="332"/>
    <cellStyle name="_Multiple_20080616_Ownership Structure Walk-Up" xfId="333"/>
    <cellStyle name="_Multiple_Basic LBO v06" xfId="334"/>
    <cellStyle name="_Multiple_Contribution of assets into USAi_02" xfId="335"/>
    <cellStyle name="_Multiple_credit - newco_6_18" xfId="336"/>
    <cellStyle name="_Multiple_credit - newco_6_18_BLS2q_salesforce" xfId="337"/>
    <cellStyle name="_Multiple_CSC Cable makers 060502" xfId="338"/>
    <cellStyle name="_Multiple_Final Pages 8-20" xfId="339"/>
    <cellStyle name="_Multiple_further analysis on comparables" xfId="340"/>
    <cellStyle name="_Multiple_NBC-5 yearDCF-Final from Vivendi modified" xfId="341"/>
    <cellStyle name="_Multiple_Oakley Model v13" xfId="342"/>
    <cellStyle name="_Multiple_Training Model Shell" xfId="343"/>
    <cellStyle name="_Multiple_Training Model Shell_BLS2q_salesforce" xfId="344"/>
    <cellStyle name="_Multiple_Update 08-27-01-3" xfId="345"/>
    <cellStyle name="_Multiple_Update 08-27-01-3_BLS2q_salesforce" xfId="346"/>
    <cellStyle name="_Multiple_USA Ownership" xfId="347"/>
    <cellStyle name="_MultipleSpace" xfId="348"/>
    <cellStyle name="_MultipleSpace_02 Pfd Valuation" xfId="349"/>
    <cellStyle name="_MultipleSpace_03 Contribution Analysis" xfId="350"/>
    <cellStyle name="_MultipleSpace_20080605_182 NewCo Agreement Model_v36" xfId="351"/>
    <cellStyle name="_MultipleSpace_20080616_Ownership Structure Walk-Up" xfId="352"/>
    <cellStyle name="_MultipleSpace_BLS2q_salesforce" xfId="353"/>
    <cellStyle name="_MultipleSpace_Contribution of assets into USAi_02" xfId="354"/>
    <cellStyle name="_MultipleSpace_credit - newco_6_18" xfId="355"/>
    <cellStyle name="_MultipleSpace_credit - newco_6_18_BLS2q_salesforce" xfId="356"/>
    <cellStyle name="_MultipleSpace_CSC Cable makers 060502" xfId="357"/>
    <cellStyle name="_MultipleSpace_EBITDA Multiple_3" xfId="358"/>
    <cellStyle name="_MultipleSpace_Final Pages 8-20" xfId="359"/>
    <cellStyle name="_MultipleSpace_Final Pages 8-20_BLS2q_salesforce" xfId="360"/>
    <cellStyle name="_MultipleSpace_further analysis on comparables" xfId="361"/>
    <cellStyle name="_MultipleSpace_further analysis on comparables_BLS2q_salesforce" xfId="362"/>
    <cellStyle name="_MultipleSpace_NBC-5 yearDCF-Final from Vivendi modified" xfId="363"/>
    <cellStyle name="_MultipleSpace_Training Model Shell" xfId="364"/>
    <cellStyle name="_MultipleSpace_Training Model Shell_BLS2q_salesforce" xfId="365"/>
    <cellStyle name="_MultipleSpace_Update 08-27-01-3" xfId="366"/>
    <cellStyle name="_MultipleSpace_Update 08-27-01-3_BLS2q_salesforce" xfId="367"/>
    <cellStyle name="_MultipleSpace_USA Ownership" xfId="368"/>
    <cellStyle name="_MultipleSpace_VU Valuation-top down approach 02" xfId="369"/>
    <cellStyle name="_Ocean Freight Request - HKG to Touyuan" xfId="370"/>
    <cellStyle name="_Ocean Freight RFQ - New Format" xfId="371"/>
    <cellStyle name="_Ocean Freight RFQ - New Lane Pair EX DGN 20050419" xfId="372"/>
    <cellStyle name="_ONL Considerations PR CY09 AOP 01-21-09 FINAL" xfId="373"/>
    <cellStyle name="_P456 COST BOM_Sep29th" xfId="374"/>
    <cellStyle name="_P50455 Costed BOM 20050922" xfId="375"/>
    <cellStyle name="_PACKAGE COST Lenovo Speyburn IV " xfId="376"/>
    <cellStyle name="_PACKAGE COST-Andes Lenovo 17L" xfId="377"/>
    <cellStyle name="_PACKAGE COST-HP Malibu DL580 G5" xfId="378"/>
    <cellStyle name="_PACKAGE COST-Lenovo 13LS" xfId="379"/>
    <cellStyle name="_PACKAGE COST-Lenovo 25LM" xfId="380"/>
    <cellStyle name="_PACKAGE COST-Martel- W-Handle" xfId="381"/>
    <cellStyle name="_PACKAGE COST-Martel- WO_Handle" xfId="382"/>
    <cellStyle name="_PACKAGE-ASSY COST Apollo" xfId="383"/>
    <cellStyle name="_PACKAGE-ASSY COST-Lenova Bluesky (2)" xfId="384"/>
    <cellStyle name="_Percent" xfId="385"/>
    <cellStyle name="_Percent_02 Pfd Valuation" xfId="386"/>
    <cellStyle name="_Percent_20080616_Ownership Structure Walk-Up" xfId="387"/>
    <cellStyle name="_Percent_BLS2q_salesforce" xfId="388"/>
    <cellStyle name="_Percent_USA Ownership" xfId="389"/>
    <cellStyle name="_PercentSpace" xfId="390"/>
    <cellStyle name="_PercentSpace_02 Pfd Valuation" xfId="391"/>
    <cellStyle name="_PercentSpace_20080616_Ownership Structure Walk-Up" xfId="392"/>
    <cellStyle name="_PercentSpace_BLS2q_salesforce" xfId="393"/>
    <cellStyle name="_PercentSpace_USA Ownership" xfId="394"/>
    <cellStyle name="_PL VG au 9 juillet 2008" xfId="395"/>
    <cellStyle name="_PM93 Quote Summary Update 061024" xfId="396"/>
    <cellStyle name="_PPA 9Cegetel 30 juin (040808)" xfId="397"/>
    <cellStyle name="_Presentation ATVI" xfId="398"/>
    <cellStyle name="_quotation(IBM) to david new" xfId="399"/>
    <cellStyle name="_quotation(IBM) to david new_Lenovo PACK  Packing Proposal" xfId="400"/>
    <cellStyle name="_quotation(IBM) to david new_Lenovo Park Format_July 07 05" xfId="401"/>
    <cellStyle name="_quotation(IBM) to david new_Lenovo Park Format_July 07 05V2" xfId="402"/>
    <cellStyle name="_RFQ required by Makkah 1101 (3)" xfId="403"/>
    <cellStyle name="_RollDG Template 605" xfId="404"/>
    <cellStyle name="_RollDM Alienware PCBA only business_ELC DIP Cards 070314" xfId="405"/>
    <cellStyle name="_RollDM Dell MB Heiden $70 BOM_Revised with Roberto 070318_$4TC Goal Seek" xfId="406"/>
    <cellStyle name="_RollDM Dell Sneeth MB_Rev01 070405" xfId="407"/>
    <cellStyle name="_RollDM HP MSA50 PCBA Cost Model_Quote 500K Monthly Rev01 (Aug 29, 2007)" xfId="408"/>
    <cellStyle name="_RollDM HP Rivers MB Gunnison_9K-13K monthly 070622" xfId="409"/>
    <cellStyle name="_RollDM L10 Cost Model_Template 070712 Rev 1.2" xfId="410"/>
    <cellStyle name="_RollDM Nvidia Add-in Card-50329" xfId="411"/>
    <cellStyle name="_RollDM Nvidia Add-in Card-50330 rev b" xfId="412"/>
    <cellStyle name="_RollDM Nvidia P381" xfId="413"/>
    <cellStyle name="_RollDM Nvidia P492 Rev 1" xfId="414"/>
    <cellStyle name="_RollDM nVidia PM132 060929" xfId="415"/>
    <cellStyle name="_RollDM Nvidia PM93 960" xfId="416"/>
    <cellStyle name="_RollDM Nvidia PM93 960 EVGA ON OFF 061024 Revised 1.2" xfId="417"/>
    <cellStyle name="_RollDM PCBA Cost Model_Template 070802 Rev C_Single High Volume Model" xfId="418"/>
    <cellStyle name="_RollDM Template 605" xfId="419"/>
    <cellStyle name="_Salcomp FCA HK Transport Pricing Dec11" xfId="420"/>
    <cellStyle name="_Salcomp FCA HK Transport Pricing Dec11_Lenovo PACK  Packing Proposal" xfId="421"/>
    <cellStyle name="_Salcomp FCA HK Transport Pricing Dec11_Lenovo Park Format_July 07 05" xfId="422"/>
    <cellStyle name="_Salcomp FCA HK Transport Pricing Dec11_Lenovo Park Format_July 07 05V2" xfId="423"/>
    <cellStyle name="_Sheet2" xfId="424"/>
    <cellStyle name="_Sheet2_Kuehne+Nagel Ocean Freight Rate Table 2005" xfId="425"/>
    <cellStyle name="_Sheet2_Kuehne+Nagel Ocean Freight Rate Table1" xfId="426"/>
    <cellStyle name="_SubHeading" xfId="427"/>
    <cellStyle name="_SubHeading_01 VU Liquidity 171202" xfId="428"/>
    <cellStyle name="_SubHeading_20080616_Ownership Structure Walk-Up" xfId="429"/>
    <cellStyle name="_SubHeading_210302 VU Liquidity new figures" xfId="430"/>
    <cellStyle name="_SubHeading_Contribution of assets into USAi_02" xfId="431"/>
    <cellStyle name="_SubHeading_NBC-5 yearDCF-Final from Vivendi modified" xfId="432"/>
    <cellStyle name="_SubHeading_prestemp" xfId="433"/>
    <cellStyle name="_SubHeading_prestemp_USAi Warrants Valuation 1" xfId="434"/>
    <cellStyle name="_SubHeading_Tribune Consolidated Model v578" xfId="435"/>
    <cellStyle name="_Table" xfId="436"/>
    <cellStyle name="_Table_02 Pfd Valuation" xfId="437"/>
    <cellStyle name="_Table_03 Contribution Analysis" xfId="438"/>
    <cellStyle name="_Table_20080616_Ownership Structure Walk-Up" xfId="439"/>
    <cellStyle name="_Table_Contribution of assets into USAi_02" xfId="440"/>
    <cellStyle name="_Table_NBC-5 yearDCF-Final from Vivendi modified" xfId="441"/>
    <cellStyle name="_Table_USA Ownership" xfId="442"/>
    <cellStyle name="_TableHead" xfId="443"/>
    <cellStyle name="_TableHead_03 Contribution Analysis" xfId="444"/>
    <cellStyle name="_TableHead_20080616_Ownership Structure Walk-Up" xfId="445"/>
    <cellStyle name="_TableHead_Basic LBO v06" xfId="446"/>
    <cellStyle name="_TableHead_Black Scholes Model" xfId="447"/>
    <cellStyle name="_TableHeading" xfId="448"/>
    <cellStyle name="_TableRowBorder" xfId="449"/>
    <cellStyle name="_TableRowHead" xfId="450"/>
    <cellStyle name="_TableRowHead_03 Contribution Analysis" xfId="451"/>
    <cellStyle name="_TableRowHead_20080616_Ownership Structure Walk-Up" xfId="452"/>
    <cellStyle name="_TableRowHead_Basic LBO v06" xfId="453"/>
    <cellStyle name="_TableRowHeading" xfId="454"/>
    <cellStyle name="_TableSuperHead" xfId="455"/>
    <cellStyle name="_TableSuperHead_02 Pfd Valuation" xfId="456"/>
    <cellStyle name="_TableSuperHead_03 Contribution Analysis" xfId="457"/>
    <cellStyle name="_TableSuperHead_20080616_Ownership Structure Walk-Up" xfId="458"/>
    <cellStyle name="_TableSuperHead_As the Market has Lower Implied Growth Expectations v2" xfId="459"/>
    <cellStyle name="_TableSuperHead_Basic LBO v06" xfId="460"/>
    <cellStyle name="_TableSuperHead_USA Ownership" xfId="461"/>
    <cellStyle name="_TableSuperHeading" xfId="462"/>
    <cellStyle name="_TableText" xfId="463"/>
    <cellStyle name="_Transportation Charges from DM to Huizhou" xfId="464"/>
    <cellStyle name="_Transportation Charges from DM to Huizhou_Lenovo PACK  Packing Proposal" xfId="465"/>
    <cellStyle name="_Transportation Charges from DM to Huizhou_Lenovo Park Format_July 07 05" xfId="466"/>
    <cellStyle name="_Transportation Charges from DM to Huizhou_Lenovo Park Format_July 07 05V2" xfId="467"/>
    <cellStyle name="_Trt-KX864-CDC-DM-HK-Futian" xfId="468"/>
    <cellStyle name="_Trt-KX864-CDC-DM-HK-Futian_Lenovo PACK  Packing Proposal" xfId="469"/>
    <cellStyle name="_Trt-KX864-CDC-DM-HK-Futian_Lenovo Park Format_July 07 05" xfId="470"/>
    <cellStyle name="_Trt-KX864-CDC-DM-HK-Futian_Lenovo Park Format_July 07 05V2" xfId="471"/>
    <cellStyle name="_WaterfrontRequote0525_DN_(JS)" xfId="472"/>
    <cellStyle name="_XBOX 360 Drum BOM" xfId="473"/>
    <cellStyle name="_XBOX MB repair &amp; refurbish freight cost" xfId="474"/>
    <cellStyle name="_XBOX MB repair &amp; refurbish freight cost_Lenovo PACK  Packing Proposal" xfId="475"/>
    <cellStyle name="_XBOX MB repair &amp; refurbish freight cost_Lenovo Park Format_July 07 05" xfId="476"/>
    <cellStyle name="_XBOX MB repair &amp; refurbish freight cost_Lenovo Park Format_July 07 05V2" xfId="477"/>
    <cellStyle name="_XBOX MB RR Transport Cost - Air  Express 040506R1" xfId="478"/>
    <cellStyle name="_XBOX MB RR Transport Cost - Air  Express 040506R1_Lenovo PACK  Packing Proposal" xfId="479"/>
    <cellStyle name="_XBOX MB RR Transport Cost - Air  Express 040506R1_Lenovo Park Format_July 07 05" xfId="480"/>
    <cellStyle name="_XBOX MB RR Transport Cost - Air  Express 040506R1_Lenovo Park Format_July 07 05V2" xfId="481"/>
    <cellStyle name="_XBOX MB RR Transport Cost - Air &amp; Express 040506R1" xfId="482"/>
    <cellStyle name="_XBOX MB RR Transport Cost - Air &amp; Express 040506R1_Lenovo PACK  Packing Proposal" xfId="483"/>
    <cellStyle name="_XBOX MB RR Transport Cost - Air &amp; Express 040506R1_Lenovo Park Format_July 07 05" xfId="484"/>
    <cellStyle name="_XBOX MB RR Transport Cost - Air &amp; Express 040506R1_Lenovo Park Format_July 07 05V2" xfId="485"/>
    <cellStyle name="_XBOX Total BI Q1'08 0310" xfId="486"/>
    <cellStyle name="’Ê‰Ý [0.00]_Region Orders (2)" xfId="487"/>
    <cellStyle name="’Ê‰Ý_Region Orders (2)" xfId="488"/>
    <cellStyle name="¤@¯ë_pldt" xfId="489"/>
    <cellStyle name="•W_Pacific Region P&amp;L" xfId="490"/>
    <cellStyle name="0,0_x000d__x000a_NA_x000d__x000a_" xfId="491"/>
    <cellStyle name="0dp" xfId="492"/>
    <cellStyle name="20% - Accent1 10" xfId="493"/>
    <cellStyle name="20% - Accent1 10 2" xfId="494"/>
    <cellStyle name="20% - Accent1 10 3" xfId="495"/>
    <cellStyle name="20% - Accent1 11" xfId="496"/>
    <cellStyle name="20% - Accent1 11 2" xfId="497"/>
    <cellStyle name="20% - Accent1 11 3" xfId="498"/>
    <cellStyle name="20% - Accent1 12" xfId="499"/>
    <cellStyle name="20% - Accent1 12 2" xfId="500"/>
    <cellStyle name="20% - Accent1 12 3" xfId="501"/>
    <cellStyle name="20% - Accent1 13" xfId="502"/>
    <cellStyle name="20% - Accent1 13 2" xfId="503"/>
    <cellStyle name="20% - Accent1 13 3" xfId="504"/>
    <cellStyle name="20% - Accent1 14" xfId="505"/>
    <cellStyle name="20% - Accent1 14 2" xfId="506"/>
    <cellStyle name="20% - Accent1 14 3" xfId="507"/>
    <cellStyle name="20% - Accent1 15" xfId="508"/>
    <cellStyle name="20% - Accent1 15 2" xfId="509"/>
    <cellStyle name="20% - Accent1 15 3" xfId="510"/>
    <cellStyle name="20% - Accent1 16" xfId="511"/>
    <cellStyle name="20% - Accent1 17" xfId="512"/>
    <cellStyle name="20% - Accent1 18" xfId="513"/>
    <cellStyle name="20% - Accent1 19" xfId="514"/>
    <cellStyle name="20% - Accent1 2" xfId="515"/>
    <cellStyle name="20% - Accent1 2 10" xfId="516"/>
    <cellStyle name="20% - Accent1 2 11" xfId="517"/>
    <cellStyle name="20% - Accent1 2 12" xfId="518"/>
    <cellStyle name="20% - Accent1 2 13" xfId="519"/>
    <cellStyle name="20% - Accent1 2 14" xfId="520"/>
    <cellStyle name="20% - Accent1 2 15" xfId="521"/>
    <cellStyle name="20% - Accent1 2 2" xfId="522"/>
    <cellStyle name="20% - Accent1 2 3" xfId="523"/>
    <cellStyle name="20% - Accent1 2 4" xfId="524"/>
    <cellStyle name="20% - Accent1 2 5" xfId="525"/>
    <cellStyle name="20% - Accent1 2 6" xfId="526"/>
    <cellStyle name="20% - Accent1 2 7" xfId="527"/>
    <cellStyle name="20% - Accent1 2 8" xfId="528"/>
    <cellStyle name="20% - Accent1 2 9" xfId="529"/>
    <cellStyle name="20% - Accent1 2_Display" xfId="530"/>
    <cellStyle name="20% - Accent1 20" xfId="4317"/>
    <cellStyle name="20% - Accent1 3" xfId="531"/>
    <cellStyle name="20% - Accent1 3 2" xfId="532"/>
    <cellStyle name="20% - Accent1 3 3" xfId="533"/>
    <cellStyle name="20% - Accent1 3 4" xfId="534"/>
    <cellStyle name="20% - Accent1 3 5" xfId="535"/>
    <cellStyle name="20% - Accent1 3 6" xfId="536"/>
    <cellStyle name="20% - Accent1 3 7" xfId="537"/>
    <cellStyle name="20% - Accent1 3 8" xfId="538"/>
    <cellStyle name="20% - Accent1 3_Display" xfId="539"/>
    <cellStyle name="20% - Accent1 4" xfId="540"/>
    <cellStyle name="20% - Accent1 4 2" xfId="541"/>
    <cellStyle name="20% - Accent1 4_Display" xfId="542"/>
    <cellStyle name="20% - Accent1 5" xfId="543"/>
    <cellStyle name="20% - Accent1 5 2" xfId="544"/>
    <cellStyle name="20% - Accent1 5_Display" xfId="545"/>
    <cellStyle name="20% - Accent1 6" xfId="546"/>
    <cellStyle name="20% - Accent1 6 2" xfId="547"/>
    <cellStyle name="20% - Accent1 6_Display" xfId="548"/>
    <cellStyle name="20% - Accent1 7" xfId="549"/>
    <cellStyle name="20% - Accent1 8" xfId="550"/>
    <cellStyle name="20% - Accent1 9" xfId="551"/>
    <cellStyle name="20% - Accent1 9 2" xfId="552"/>
    <cellStyle name="20% - Accent1 9 3" xfId="553"/>
    <cellStyle name="20% - Accent1 9 4" xfId="554"/>
    <cellStyle name="20% - Accent2 10" xfId="555"/>
    <cellStyle name="20% - Accent2 10 2" xfId="556"/>
    <cellStyle name="20% - Accent2 10 3" xfId="557"/>
    <cellStyle name="20% - Accent2 11" xfId="558"/>
    <cellStyle name="20% - Accent2 11 2" xfId="559"/>
    <cellStyle name="20% - Accent2 11 3" xfId="560"/>
    <cellStyle name="20% - Accent2 12" xfId="561"/>
    <cellStyle name="20% - Accent2 12 2" xfId="562"/>
    <cellStyle name="20% - Accent2 12 3" xfId="563"/>
    <cellStyle name="20% - Accent2 13" xfId="564"/>
    <cellStyle name="20% - Accent2 13 2" xfId="565"/>
    <cellStyle name="20% - Accent2 13 3" xfId="566"/>
    <cellStyle name="20% - Accent2 14" xfId="567"/>
    <cellStyle name="20% - Accent2 14 2" xfId="568"/>
    <cellStyle name="20% - Accent2 14 3" xfId="569"/>
    <cellStyle name="20% - Accent2 15" xfId="570"/>
    <cellStyle name="20% - Accent2 15 2" xfId="571"/>
    <cellStyle name="20% - Accent2 15 3" xfId="572"/>
    <cellStyle name="20% - Accent2 16" xfId="573"/>
    <cellStyle name="20% - Accent2 17" xfId="574"/>
    <cellStyle name="20% - Accent2 18" xfId="575"/>
    <cellStyle name="20% - Accent2 19" xfId="576"/>
    <cellStyle name="20% - Accent2 2" xfId="577"/>
    <cellStyle name="20% - Accent2 2 10" xfId="578"/>
    <cellStyle name="20% - Accent2 2 11" xfId="579"/>
    <cellStyle name="20% - Accent2 2 12" xfId="580"/>
    <cellStyle name="20% - Accent2 2 13" xfId="581"/>
    <cellStyle name="20% - Accent2 2 14" xfId="582"/>
    <cellStyle name="20% - Accent2 2 15" xfId="583"/>
    <cellStyle name="20% - Accent2 2 2" xfId="584"/>
    <cellStyle name="20% - Accent2 2 3" xfId="585"/>
    <cellStyle name="20% - Accent2 2 4" xfId="586"/>
    <cellStyle name="20% - Accent2 2 5" xfId="587"/>
    <cellStyle name="20% - Accent2 2 6" xfId="588"/>
    <cellStyle name="20% - Accent2 2 7" xfId="589"/>
    <cellStyle name="20% - Accent2 2 8" xfId="590"/>
    <cellStyle name="20% - Accent2 2 9" xfId="591"/>
    <cellStyle name="20% - Accent2 2_Display" xfId="592"/>
    <cellStyle name="20% - Accent2 20" xfId="4318"/>
    <cellStyle name="20% - Accent2 3" xfId="593"/>
    <cellStyle name="20% - Accent2 3 2" xfId="594"/>
    <cellStyle name="20% - Accent2 3 3" xfId="595"/>
    <cellStyle name="20% - Accent2 3 4" xfId="596"/>
    <cellStyle name="20% - Accent2 3 5" xfId="597"/>
    <cellStyle name="20% - Accent2 3 5 2" xfId="598"/>
    <cellStyle name="20% - Accent2 3 6" xfId="599"/>
    <cellStyle name="20% - Accent2 3 7" xfId="600"/>
    <cellStyle name="20% - Accent2 3 8" xfId="601"/>
    <cellStyle name="20% - Accent2 3 9" xfId="602"/>
    <cellStyle name="20% - Accent2 3_Display" xfId="603"/>
    <cellStyle name="20% - Accent2 4" xfId="604"/>
    <cellStyle name="20% - Accent2 4 2" xfId="605"/>
    <cellStyle name="20% - Accent2 4_Display" xfId="606"/>
    <cellStyle name="20% - Accent2 5" xfId="607"/>
    <cellStyle name="20% - Accent2 5 2" xfId="608"/>
    <cellStyle name="20% - Accent2 5_Display" xfId="609"/>
    <cellStyle name="20% - Accent2 6" xfId="610"/>
    <cellStyle name="20% - Accent2 6 2" xfId="611"/>
    <cellStyle name="20% - Accent2 6_Display" xfId="612"/>
    <cellStyle name="20% - Accent2 7" xfId="613"/>
    <cellStyle name="20% - Accent2 8" xfId="614"/>
    <cellStyle name="20% - Accent2 9" xfId="615"/>
    <cellStyle name="20% - Accent2 9 2" xfId="616"/>
    <cellStyle name="20% - Accent2 9 2 2" xfId="617"/>
    <cellStyle name="20% - Accent2 9 3" xfId="618"/>
    <cellStyle name="20% - Accent2 9 4" xfId="619"/>
    <cellStyle name="20% - Accent2 9 5" xfId="620"/>
    <cellStyle name="20% - Accent3 10" xfId="621"/>
    <cellStyle name="20% - Accent3 10 2" xfId="622"/>
    <cellStyle name="20% - Accent3 10 3" xfId="623"/>
    <cellStyle name="20% - Accent3 11" xfId="624"/>
    <cellStyle name="20% - Accent3 11 2" xfId="625"/>
    <cellStyle name="20% - Accent3 11 3" xfId="626"/>
    <cellStyle name="20% - Accent3 12" xfId="627"/>
    <cellStyle name="20% - Accent3 12 2" xfId="628"/>
    <cellStyle name="20% - Accent3 12 3" xfId="629"/>
    <cellStyle name="20% - Accent3 13" xfId="630"/>
    <cellStyle name="20% - Accent3 13 2" xfId="631"/>
    <cellStyle name="20% - Accent3 13 3" xfId="632"/>
    <cellStyle name="20% - Accent3 14" xfId="633"/>
    <cellStyle name="20% - Accent3 14 2" xfId="634"/>
    <cellStyle name="20% - Accent3 14 3" xfId="635"/>
    <cellStyle name="20% - Accent3 15" xfId="636"/>
    <cellStyle name="20% - Accent3 15 2" xfId="637"/>
    <cellStyle name="20% - Accent3 15 3" xfId="638"/>
    <cellStyle name="20% - Accent3 16" xfId="639"/>
    <cellStyle name="20% - Accent3 17" xfId="640"/>
    <cellStyle name="20% - Accent3 18" xfId="641"/>
    <cellStyle name="20% - Accent3 19" xfId="642"/>
    <cellStyle name="20% - Accent3 2" xfId="643"/>
    <cellStyle name="20% - Accent3 2 10" xfId="644"/>
    <cellStyle name="20% - Accent3 2 11" xfId="645"/>
    <cellStyle name="20% - Accent3 2 12" xfId="646"/>
    <cellStyle name="20% - Accent3 2 13" xfId="647"/>
    <cellStyle name="20% - Accent3 2 14" xfId="648"/>
    <cellStyle name="20% - Accent3 2 15" xfId="649"/>
    <cellStyle name="20% - Accent3 2 2" xfId="650"/>
    <cellStyle name="20% - Accent3 2 3" xfId="651"/>
    <cellStyle name="20% - Accent3 2 4" xfId="652"/>
    <cellStyle name="20% - Accent3 2 5" xfId="653"/>
    <cellStyle name="20% - Accent3 2 6" xfId="654"/>
    <cellStyle name="20% - Accent3 2 7" xfId="655"/>
    <cellStyle name="20% - Accent3 2 8" xfId="656"/>
    <cellStyle name="20% - Accent3 2 9" xfId="657"/>
    <cellStyle name="20% - Accent3 2_Display" xfId="658"/>
    <cellStyle name="20% - Accent3 20" xfId="4319"/>
    <cellStyle name="20% - Accent3 3" xfId="659"/>
    <cellStyle name="20% - Accent3 3 2" xfId="660"/>
    <cellStyle name="20% - Accent3 3 3" xfId="661"/>
    <cellStyle name="20% - Accent3 3 4" xfId="662"/>
    <cellStyle name="20% - Accent3 3 5" xfId="663"/>
    <cellStyle name="20% - Accent3 3 5 2" xfId="664"/>
    <cellStyle name="20% - Accent3 3 6" xfId="665"/>
    <cellStyle name="20% - Accent3 3 7" xfId="666"/>
    <cellStyle name="20% - Accent3 3 8" xfId="667"/>
    <cellStyle name="20% - Accent3 3 9" xfId="668"/>
    <cellStyle name="20% - Accent3 3_Display" xfId="669"/>
    <cellStyle name="20% - Accent3 4" xfId="670"/>
    <cellStyle name="20% - Accent3 4 2" xfId="671"/>
    <cellStyle name="20% - Accent3 4_Display" xfId="672"/>
    <cellStyle name="20% - Accent3 5" xfId="673"/>
    <cellStyle name="20% - Accent3 5 2" xfId="674"/>
    <cellStyle name="20% - Accent3 5_Display" xfId="675"/>
    <cellStyle name="20% - Accent3 6" xfId="676"/>
    <cellStyle name="20% - Accent3 6 2" xfId="677"/>
    <cellStyle name="20% - Accent3 6_Display" xfId="678"/>
    <cellStyle name="20% - Accent3 7" xfId="679"/>
    <cellStyle name="20% - Accent3 8" xfId="680"/>
    <cellStyle name="20% - Accent3 9" xfId="681"/>
    <cellStyle name="20% - Accent3 9 2" xfId="682"/>
    <cellStyle name="20% - Accent3 9 2 2" xfId="683"/>
    <cellStyle name="20% - Accent3 9 3" xfId="684"/>
    <cellStyle name="20% - Accent3 9 4" xfId="685"/>
    <cellStyle name="20% - Accent3 9 5" xfId="686"/>
    <cellStyle name="20% - Accent4 10" xfId="687"/>
    <cellStyle name="20% - Accent4 10 2" xfId="688"/>
    <cellStyle name="20% - Accent4 10 3" xfId="689"/>
    <cellStyle name="20% - Accent4 11" xfId="690"/>
    <cellStyle name="20% - Accent4 11 2" xfId="691"/>
    <cellStyle name="20% - Accent4 11 3" xfId="692"/>
    <cellStyle name="20% - Accent4 12" xfId="693"/>
    <cellStyle name="20% - Accent4 12 2" xfId="694"/>
    <cellStyle name="20% - Accent4 12 3" xfId="695"/>
    <cellStyle name="20% - Accent4 13" xfId="696"/>
    <cellStyle name="20% - Accent4 13 2" xfId="697"/>
    <cellStyle name="20% - Accent4 13 3" xfId="698"/>
    <cellStyle name="20% - Accent4 14" xfId="699"/>
    <cellStyle name="20% - Accent4 14 2" xfId="700"/>
    <cellStyle name="20% - Accent4 14 3" xfId="701"/>
    <cellStyle name="20% - Accent4 15" xfId="702"/>
    <cellStyle name="20% - Accent4 15 2" xfId="703"/>
    <cellStyle name="20% - Accent4 15 3" xfId="704"/>
    <cellStyle name="20% - Accent4 16" xfId="705"/>
    <cellStyle name="20% - Accent4 17" xfId="706"/>
    <cellStyle name="20% - Accent4 18" xfId="707"/>
    <cellStyle name="20% - Accent4 19" xfId="708"/>
    <cellStyle name="20% - Accent4 2" xfId="709"/>
    <cellStyle name="20% - Accent4 2 10" xfId="710"/>
    <cellStyle name="20% - Accent4 2 11" xfId="711"/>
    <cellStyle name="20% - Accent4 2 12" xfId="712"/>
    <cellStyle name="20% - Accent4 2 13" xfId="713"/>
    <cellStyle name="20% - Accent4 2 14" xfId="714"/>
    <cellStyle name="20% - Accent4 2 15" xfId="715"/>
    <cellStyle name="20% - Accent4 2 2" xfId="716"/>
    <cellStyle name="20% - Accent4 2 3" xfId="717"/>
    <cellStyle name="20% - Accent4 2 4" xfId="718"/>
    <cellStyle name="20% - Accent4 2 5" xfId="719"/>
    <cellStyle name="20% - Accent4 2 6" xfId="720"/>
    <cellStyle name="20% - Accent4 2 7" xfId="721"/>
    <cellStyle name="20% - Accent4 2 8" xfId="722"/>
    <cellStyle name="20% - Accent4 2 9" xfId="723"/>
    <cellStyle name="20% - Accent4 2_Display" xfId="724"/>
    <cellStyle name="20% - Accent4 20" xfId="4320"/>
    <cellStyle name="20% - Accent4 3" xfId="725"/>
    <cellStyle name="20% - Accent4 3 2" xfId="726"/>
    <cellStyle name="20% - Accent4 3 3" xfId="727"/>
    <cellStyle name="20% - Accent4 3 4" xfId="728"/>
    <cellStyle name="20% - Accent4 3 5" xfId="729"/>
    <cellStyle name="20% - Accent4 3 5 2" xfId="730"/>
    <cellStyle name="20% - Accent4 3 6" xfId="731"/>
    <cellStyle name="20% - Accent4 3 7" xfId="732"/>
    <cellStyle name="20% - Accent4 3 8" xfId="733"/>
    <cellStyle name="20% - Accent4 3 9" xfId="734"/>
    <cellStyle name="20% - Accent4 3_Display" xfId="735"/>
    <cellStyle name="20% - Accent4 4" xfId="736"/>
    <cellStyle name="20% - Accent4 4 2" xfId="737"/>
    <cellStyle name="20% - Accent4 4_Display" xfId="738"/>
    <cellStyle name="20% - Accent4 5" xfId="739"/>
    <cellStyle name="20% - Accent4 5 2" xfId="740"/>
    <cellStyle name="20% - Accent4 5_Display" xfId="741"/>
    <cellStyle name="20% - Accent4 6" xfId="742"/>
    <cellStyle name="20% - Accent4 6 2" xfId="743"/>
    <cellStyle name="20% - Accent4 6_Display" xfId="744"/>
    <cellStyle name="20% - Accent4 7" xfId="745"/>
    <cellStyle name="20% - Accent4 8" xfId="746"/>
    <cellStyle name="20% - Accent4 9" xfId="747"/>
    <cellStyle name="20% - Accent4 9 2" xfId="748"/>
    <cellStyle name="20% - Accent4 9 2 2" xfId="749"/>
    <cellStyle name="20% - Accent4 9 3" xfId="750"/>
    <cellStyle name="20% - Accent4 9 4" xfId="751"/>
    <cellStyle name="20% - Accent4 9 5" xfId="752"/>
    <cellStyle name="20% - Accent5 10" xfId="753"/>
    <cellStyle name="20% - Accent5 10 2" xfId="754"/>
    <cellStyle name="20% - Accent5 10 3" xfId="755"/>
    <cellStyle name="20% - Accent5 11" xfId="756"/>
    <cellStyle name="20% - Accent5 11 2" xfId="757"/>
    <cellStyle name="20% - Accent5 11 3" xfId="758"/>
    <cellStyle name="20% - Accent5 12" xfId="759"/>
    <cellStyle name="20% - Accent5 12 2" xfId="760"/>
    <cellStyle name="20% - Accent5 12 3" xfId="761"/>
    <cellStyle name="20% - Accent5 13" xfId="762"/>
    <cellStyle name="20% - Accent5 13 2" xfId="763"/>
    <cellStyle name="20% - Accent5 13 3" xfId="764"/>
    <cellStyle name="20% - Accent5 14" xfId="765"/>
    <cellStyle name="20% - Accent5 14 2" xfId="766"/>
    <cellStyle name="20% - Accent5 14 3" xfId="767"/>
    <cellStyle name="20% - Accent5 15" xfId="768"/>
    <cellStyle name="20% - Accent5 15 2" xfId="769"/>
    <cellStyle name="20% - Accent5 15 3" xfId="770"/>
    <cellStyle name="20% - Accent5 16" xfId="771"/>
    <cellStyle name="20% - Accent5 17" xfId="772"/>
    <cellStyle name="20% - Accent5 18" xfId="773"/>
    <cellStyle name="20% - Accent5 19" xfId="774"/>
    <cellStyle name="20% - Accent5 2" xfId="775"/>
    <cellStyle name="20% - Accent5 2 10" xfId="776"/>
    <cellStyle name="20% - Accent5 2 11" xfId="777"/>
    <cellStyle name="20% - Accent5 2 12" xfId="778"/>
    <cellStyle name="20% - Accent5 2 13" xfId="779"/>
    <cellStyle name="20% - Accent5 2 14" xfId="780"/>
    <cellStyle name="20% - Accent5 2 15" xfId="781"/>
    <cellStyle name="20% - Accent5 2 2" xfId="782"/>
    <cellStyle name="20% - Accent5 2 3" xfId="783"/>
    <cellStyle name="20% - Accent5 2 4" xfId="784"/>
    <cellStyle name="20% - Accent5 2 5" xfId="785"/>
    <cellStyle name="20% - Accent5 2 6" xfId="786"/>
    <cellStyle name="20% - Accent5 2 7" xfId="787"/>
    <cellStyle name="20% - Accent5 2 8" xfId="788"/>
    <cellStyle name="20% - Accent5 2 9" xfId="789"/>
    <cellStyle name="20% - Accent5 2_Display" xfId="790"/>
    <cellStyle name="20% - Accent5 20" xfId="4321"/>
    <cellStyle name="20% - Accent5 3" xfId="791"/>
    <cellStyle name="20% - Accent5 3 2" xfId="792"/>
    <cellStyle name="20% - Accent5 3 3" xfId="793"/>
    <cellStyle name="20% - Accent5 3 4" xfId="794"/>
    <cellStyle name="20% - Accent5 3 5" xfId="795"/>
    <cellStyle name="20% - Accent5 3 6" xfId="796"/>
    <cellStyle name="20% - Accent5 3 7" xfId="797"/>
    <cellStyle name="20% - Accent5 3 8" xfId="798"/>
    <cellStyle name="20% - Accent5 3_Display" xfId="799"/>
    <cellStyle name="20% - Accent5 4" xfId="800"/>
    <cellStyle name="20% - Accent5 4 2" xfId="801"/>
    <cellStyle name="20% - Accent5 4_Display" xfId="802"/>
    <cellStyle name="20% - Accent5 5" xfId="803"/>
    <cellStyle name="20% - Accent5 5 2" xfId="804"/>
    <cellStyle name="20% - Accent5 5_Display" xfId="805"/>
    <cellStyle name="20% - Accent5 6" xfId="806"/>
    <cellStyle name="20% - Accent5 6 2" xfId="807"/>
    <cellStyle name="20% - Accent5 6_Display" xfId="808"/>
    <cellStyle name="20% - Accent5 7" xfId="809"/>
    <cellStyle name="20% - Accent5 8" xfId="810"/>
    <cellStyle name="20% - Accent5 9" xfId="811"/>
    <cellStyle name="20% - Accent5 9 2" xfId="812"/>
    <cellStyle name="20% - Accent5 9 3" xfId="813"/>
    <cellStyle name="20% - Accent5 9 4" xfId="814"/>
    <cellStyle name="20% - Accent6 10" xfId="815"/>
    <cellStyle name="20% - Accent6 10 2" xfId="816"/>
    <cellStyle name="20% - Accent6 10 3" xfId="817"/>
    <cellStyle name="20% - Accent6 11" xfId="818"/>
    <cellStyle name="20% - Accent6 11 2" xfId="819"/>
    <cellStyle name="20% - Accent6 11 3" xfId="820"/>
    <cellStyle name="20% - Accent6 12" xfId="821"/>
    <cellStyle name="20% - Accent6 12 2" xfId="822"/>
    <cellStyle name="20% - Accent6 12 3" xfId="823"/>
    <cellStyle name="20% - Accent6 13" xfId="824"/>
    <cellStyle name="20% - Accent6 13 2" xfId="825"/>
    <cellStyle name="20% - Accent6 13 3" xfId="826"/>
    <cellStyle name="20% - Accent6 14" xfId="827"/>
    <cellStyle name="20% - Accent6 14 2" xfId="828"/>
    <cellStyle name="20% - Accent6 14 3" xfId="829"/>
    <cellStyle name="20% - Accent6 15" xfId="830"/>
    <cellStyle name="20% - Accent6 15 2" xfId="831"/>
    <cellStyle name="20% - Accent6 15 3" xfId="832"/>
    <cellStyle name="20% - Accent6 16" xfId="833"/>
    <cellStyle name="20% - Accent6 17" xfId="834"/>
    <cellStyle name="20% - Accent6 18" xfId="835"/>
    <cellStyle name="20% - Accent6 19" xfId="836"/>
    <cellStyle name="20% - Accent6 2" xfId="837"/>
    <cellStyle name="20% - Accent6 2 10" xfId="838"/>
    <cellStyle name="20% - Accent6 2 11" xfId="839"/>
    <cellStyle name="20% - Accent6 2 12" xfId="840"/>
    <cellStyle name="20% - Accent6 2 13" xfId="841"/>
    <cellStyle name="20% - Accent6 2 14" xfId="842"/>
    <cellStyle name="20% - Accent6 2 15" xfId="843"/>
    <cellStyle name="20% - Accent6 2 2" xfId="844"/>
    <cellStyle name="20% - Accent6 2 3" xfId="845"/>
    <cellStyle name="20% - Accent6 2 4" xfId="846"/>
    <cellStyle name="20% - Accent6 2 5" xfId="847"/>
    <cellStyle name="20% - Accent6 2 6" xfId="848"/>
    <cellStyle name="20% - Accent6 2 7" xfId="849"/>
    <cellStyle name="20% - Accent6 2 8" xfId="850"/>
    <cellStyle name="20% - Accent6 2 9" xfId="851"/>
    <cellStyle name="20% - Accent6 2_Display" xfId="852"/>
    <cellStyle name="20% - Accent6 20" xfId="4322"/>
    <cellStyle name="20% - Accent6 3" xfId="853"/>
    <cellStyle name="20% - Accent6 3 2" xfId="854"/>
    <cellStyle name="20% - Accent6 3 3" xfId="855"/>
    <cellStyle name="20% - Accent6 3 4" xfId="856"/>
    <cellStyle name="20% - Accent6 3 5" xfId="857"/>
    <cellStyle name="20% - Accent6 3 5 2" xfId="858"/>
    <cellStyle name="20% - Accent6 3 6" xfId="859"/>
    <cellStyle name="20% - Accent6 3 7" xfId="860"/>
    <cellStyle name="20% - Accent6 3 8" xfId="861"/>
    <cellStyle name="20% - Accent6 3 9" xfId="862"/>
    <cellStyle name="20% - Accent6 3_Display" xfId="863"/>
    <cellStyle name="20% - Accent6 4" xfId="864"/>
    <cellStyle name="20% - Accent6 4 2" xfId="865"/>
    <cellStyle name="20% - Accent6 4_Display" xfId="866"/>
    <cellStyle name="20% - Accent6 5" xfId="867"/>
    <cellStyle name="20% - Accent6 5 2" xfId="868"/>
    <cellStyle name="20% - Accent6 5_Display" xfId="869"/>
    <cellStyle name="20% - Accent6 6" xfId="870"/>
    <cellStyle name="20% - Accent6 6 2" xfId="871"/>
    <cellStyle name="20% - Accent6 6_Display" xfId="872"/>
    <cellStyle name="20% - Accent6 7" xfId="873"/>
    <cellStyle name="20% - Accent6 8" xfId="874"/>
    <cellStyle name="20% - Accent6 9" xfId="875"/>
    <cellStyle name="20% - Accent6 9 2" xfId="876"/>
    <cellStyle name="20% - Accent6 9 2 2" xfId="877"/>
    <cellStyle name="20% - Accent6 9 3" xfId="878"/>
    <cellStyle name="20% - Accent6 9 4" xfId="879"/>
    <cellStyle name="20% - Accent6 9 5" xfId="880"/>
    <cellStyle name="20% - 强调文字颜色 1" xfId="881"/>
    <cellStyle name="20% - 强调文字颜色 2" xfId="882"/>
    <cellStyle name="20% - 强调文字颜色 3" xfId="883"/>
    <cellStyle name="20% - 强调文字颜色 4" xfId="884"/>
    <cellStyle name="20% - 强调文字颜色 5" xfId="885"/>
    <cellStyle name="20% - 强调文字颜色 6" xfId="886"/>
    <cellStyle name="20% - 輔色1" xfId="887"/>
    <cellStyle name="20% - 輔色2" xfId="888"/>
    <cellStyle name="20% - 輔色3" xfId="889"/>
    <cellStyle name="20% - 輔色4" xfId="890"/>
    <cellStyle name="20% - 輔色5" xfId="891"/>
    <cellStyle name="20% - 輔色6" xfId="892"/>
    <cellStyle name="3232" xfId="893"/>
    <cellStyle name="³f¹ô[0]_pldt" xfId="894"/>
    <cellStyle name="³f¹ô_pldt" xfId="895"/>
    <cellStyle name="40% - Accent1 10" xfId="896"/>
    <cellStyle name="40% - Accent1 10 2" xfId="897"/>
    <cellStyle name="40% - Accent1 10 3" xfId="898"/>
    <cellStyle name="40% - Accent1 11" xfId="899"/>
    <cellStyle name="40% - Accent1 11 2" xfId="900"/>
    <cellStyle name="40% - Accent1 11 3" xfId="901"/>
    <cellStyle name="40% - Accent1 12" xfId="902"/>
    <cellStyle name="40% - Accent1 12 2" xfId="903"/>
    <cellStyle name="40% - Accent1 12 3" xfId="904"/>
    <cellStyle name="40% - Accent1 13" xfId="905"/>
    <cellStyle name="40% - Accent1 13 2" xfId="906"/>
    <cellStyle name="40% - Accent1 13 3" xfId="907"/>
    <cellStyle name="40% - Accent1 14" xfId="908"/>
    <cellStyle name="40% - Accent1 14 2" xfId="909"/>
    <cellStyle name="40% - Accent1 14 3" xfId="910"/>
    <cellStyle name="40% - Accent1 15" xfId="911"/>
    <cellStyle name="40% - Accent1 15 2" xfId="912"/>
    <cellStyle name="40% - Accent1 15 3" xfId="913"/>
    <cellStyle name="40% - Accent1 16" xfId="914"/>
    <cellStyle name="40% - Accent1 17" xfId="915"/>
    <cellStyle name="40% - Accent1 18" xfId="916"/>
    <cellStyle name="40% - Accent1 19" xfId="917"/>
    <cellStyle name="40% - Accent1 2" xfId="918"/>
    <cellStyle name="40% - Accent1 2 10" xfId="919"/>
    <cellStyle name="40% - Accent1 2 11" xfId="920"/>
    <cellStyle name="40% - Accent1 2 12" xfId="921"/>
    <cellStyle name="40% - Accent1 2 13" xfId="922"/>
    <cellStyle name="40% - Accent1 2 14" xfId="923"/>
    <cellStyle name="40% - Accent1 2 15" xfId="924"/>
    <cellStyle name="40% - Accent1 2 2" xfId="925"/>
    <cellStyle name="40% - Accent1 2 3" xfId="926"/>
    <cellStyle name="40% - Accent1 2 4" xfId="927"/>
    <cellStyle name="40% - Accent1 2 5" xfId="928"/>
    <cellStyle name="40% - Accent1 2 6" xfId="929"/>
    <cellStyle name="40% - Accent1 2 7" xfId="930"/>
    <cellStyle name="40% - Accent1 2 8" xfId="931"/>
    <cellStyle name="40% - Accent1 2 9" xfId="932"/>
    <cellStyle name="40% - Accent1 2_Display" xfId="933"/>
    <cellStyle name="40% - Accent1 20" xfId="4323"/>
    <cellStyle name="40% - Accent1 3" xfId="934"/>
    <cellStyle name="40% - Accent1 3 2" xfId="935"/>
    <cellStyle name="40% - Accent1 3 3" xfId="936"/>
    <cellStyle name="40% - Accent1 3 4" xfId="937"/>
    <cellStyle name="40% - Accent1 3 5" xfId="938"/>
    <cellStyle name="40% - Accent1 3 5 2" xfId="939"/>
    <cellStyle name="40% - Accent1 3 6" xfId="940"/>
    <cellStyle name="40% - Accent1 3 7" xfId="941"/>
    <cellStyle name="40% - Accent1 3 8" xfId="942"/>
    <cellStyle name="40% - Accent1 3 9" xfId="943"/>
    <cellStyle name="40% - Accent1 3_Display" xfId="944"/>
    <cellStyle name="40% - Accent1 4" xfId="945"/>
    <cellStyle name="40% - Accent1 4 2" xfId="946"/>
    <cellStyle name="40% - Accent1 4_Display" xfId="947"/>
    <cellStyle name="40% - Accent1 5" xfId="948"/>
    <cellStyle name="40% - Accent1 5 2" xfId="949"/>
    <cellStyle name="40% - Accent1 5_Display" xfId="950"/>
    <cellStyle name="40% - Accent1 6" xfId="951"/>
    <cellStyle name="40% - Accent1 6 2" xfId="952"/>
    <cellStyle name="40% - Accent1 6_Display" xfId="953"/>
    <cellStyle name="40% - Accent1 7" xfId="954"/>
    <cellStyle name="40% - Accent1 8" xfId="955"/>
    <cellStyle name="40% - Accent1 9" xfId="956"/>
    <cellStyle name="40% - Accent1 9 2" xfId="957"/>
    <cellStyle name="40% - Accent1 9 2 2" xfId="958"/>
    <cellStyle name="40% - Accent1 9 3" xfId="959"/>
    <cellStyle name="40% - Accent1 9 4" xfId="960"/>
    <cellStyle name="40% - Accent1 9 5" xfId="961"/>
    <cellStyle name="40% - Accent2 10" xfId="962"/>
    <cellStyle name="40% - Accent2 10 2" xfId="963"/>
    <cellStyle name="40% - Accent2 10 3" xfId="964"/>
    <cellStyle name="40% - Accent2 11" xfId="965"/>
    <cellStyle name="40% - Accent2 11 2" xfId="966"/>
    <cellStyle name="40% - Accent2 11 3" xfId="967"/>
    <cellStyle name="40% - Accent2 12" xfId="968"/>
    <cellStyle name="40% - Accent2 12 2" xfId="969"/>
    <cellStyle name="40% - Accent2 12 3" xfId="970"/>
    <cellStyle name="40% - Accent2 13" xfId="971"/>
    <cellStyle name="40% - Accent2 13 2" xfId="972"/>
    <cellStyle name="40% - Accent2 13 3" xfId="973"/>
    <cellStyle name="40% - Accent2 14" xfId="974"/>
    <cellStyle name="40% - Accent2 14 2" xfId="975"/>
    <cellStyle name="40% - Accent2 14 3" xfId="976"/>
    <cellStyle name="40% - Accent2 15" xfId="977"/>
    <cellStyle name="40% - Accent2 15 2" xfId="978"/>
    <cellStyle name="40% - Accent2 15 3" xfId="979"/>
    <cellStyle name="40% - Accent2 16" xfId="980"/>
    <cellStyle name="40% - Accent2 17" xfId="981"/>
    <cellStyle name="40% - Accent2 18" xfId="982"/>
    <cellStyle name="40% - Accent2 19" xfId="983"/>
    <cellStyle name="40% - Accent2 2" xfId="984"/>
    <cellStyle name="40% - Accent2 2 10" xfId="985"/>
    <cellStyle name="40% - Accent2 2 11" xfId="986"/>
    <cellStyle name="40% - Accent2 2 12" xfId="987"/>
    <cellStyle name="40% - Accent2 2 13" xfId="988"/>
    <cellStyle name="40% - Accent2 2 14" xfId="989"/>
    <cellStyle name="40% - Accent2 2 15" xfId="990"/>
    <cellStyle name="40% - Accent2 2 2" xfId="991"/>
    <cellStyle name="40% - Accent2 2 3" xfId="992"/>
    <cellStyle name="40% - Accent2 2 4" xfId="993"/>
    <cellStyle name="40% - Accent2 2 5" xfId="994"/>
    <cellStyle name="40% - Accent2 2 6" xfId="995"/>
    <cellStyle name="40% - Accent2 2 7" xfId="996"/>
    <cellStyle name="40% - Accent2 2 8" xfId="997"/>
    <cellStyle name="40% - Accent2 2 9" xfId="998"/>
    <cellStyle name="40% - Accent2 2_Display" xfId="999"/>
    <cellStyle name="40% - Accent2 20" xfId="4324"/>
    <cellStyle name="40% - Accent2 3" xfId="1000"/>
    <cellStyle name="40% - Accent2 3 2" xfId="1001"/>
    <cellStyle name="40% - Accent2 3 3" xfId="1002"/>
    <cellStyle name="40% - Accent2 3 4" xfId="1003"/>
    <cellStyle name="40% - Accent2 3 5" xfId="1004"/>
    <cellStyle name="40% - Accent2 3 5 2" xfId="1005"/>
    <cellStyle name="40% - Accent2 3 6" xfId="1006"/>
    <cellStyle name="40% - Accent2 3 7" xfId="1007"/>
    <cellStyle name="40% - Accent2 3 8" xfId="1008"/>
    <cellStyle name="40% - Accent2 3 9" xfId="1009"/>
    <cellStyle name="40% - Accent2 3_Display" xfId="1010"/>
    <cellStyle name="40% - Accent2 4" xfId="1011"/>
    <cellStyle name="40% - Accent2 4 2" xfId="1012"/>
    <cellStyle name="40% - Accent2 4_Display" xfId="1013"/>
    <cellStyle name="40% - Accent2 5" xfId="1014"/>
    <cellStyle name="40% - Accent2 5 2" xfId="1015"/>
    <cellStyle name="40% - Accent2 5_Display" xfId="1016"/>
    <cellStyle name="40% - Accent2 6" xfId="1017"/>
    <cellStyle name="40% - Accent2 6 2" xfId="1018"/>
    <cellStyle name="40% - Accent2 6_Display" xfId="1019"/>
    <cellStyle name="40% - Accent2 7" xfId="1020"/>
    <cellStyle name="40% - Accent2 8" xfId="1021"/>
    <cellStyle name="40% - Accent2 9" xfId="1022"/>
    <cellStyle name="40% - Accent2 9 2" xfId="1023"/>
    <cellStyle name="40% - Accent2 9 2 2" xfId="1024"/>
    <cellStyle name="40% - Accent2 9 3" xfId="1025"/>
    <cellStyle name="40% - Accent2 9 4" xfId="1026"/>
    <cellStyle name="40% - Accent2 9 5" xfId="1027"/>
    <cellStyle name="40% - Accent3 10" xfId="1028"/>
    <cellStyle name="40% - Accent3 10 2" xfId="1029"/>
    <cellStyle name="40% - Accent3 10 3" xfId="1030"/>
    <cellStyle name="40% - Accent3 11" xfId="1031"/>
    <cellStyle name="40% - Accent3 11 2" xfId="1032"/>
    <cellStyle name="40% - Accent3 11 3" xfId="1033"/>
    <cellStyle name="40% - Accent3 12" xfId="1034"/>
    <cellStyle name="40% - Accent3 12 2" xfId="1035"/>
    <cellStyle name="40% - Accent3 12 3" xfId="1036"/>
    <cellStyle name="40% - Accent3 13" xfId="1037"/>
    <cellStyle name="40% - Accent3 13 2" xfId="1038"/>
    <cellStyle name="40% - Accent3 13 3" xfId="1039"/>
    <cellStyle name="40% - Accent3 14" xfId="1040"/>
    <cellStyle name="40% - Accent3 14 2" xfId="1041"/>
    <cellStyle name="40% - Accent3 14 3" xfId="1042"/>
    <cellStyle name="40% - Accent3 15" xfId="1043"/>
    <cellStyle name="40% - Accent3 15 2" xfId="1044"/>
    <cellStyle name="40% - Accent3 15 3" xfId="1045"/>
    <cellStyle name="40% - Accent3 16" xfId="1046"/>
    <cellStyle name="40% - Accent3 17" xfId="1047"/>
    <cellStyle name="40% - Accent3 18" xfId="1048"/>
    <cellStyle name="40% - Accent3 19" xfId="1049"/>
    <cellStyle name="40% - Accent3 2" xfId="1050"/>
    <cellStyle name="40% - Accent3 2 10" xfId="1051"/>
    <cellStyle name="40% - Accent3 2 11" xfId="1052"/>
    <cellStyle name="40% - Accent3 2 12" xfId="1053"/>
    <cellStyle name="40% - Accent3 2 13" xfId="1054"/>
    <cellStyle name="40% - Accent3 2 14" xfId="1055"/>
    <cellStyle name="40% - Accent3 2 15" xfId="1056"/>
    <cellStyle name="40% - Accent3 2 2" xfId="1057"/>
    <cellStyle name="40% - Accent3 2 3" xfId="1058"/>
    <cellStyle name="40% - Accent3 2 4" xfId="1059"/>
    <cellStyle name="40% - Accent3 2 5" xfId="1060"/>
    <cellStyle name="40% - Accent3 2 6" xfId="1061"/>
    <cellStyle name="40% - Accent3 2 7" xfId="1062"/>
    <cellStyle name="40% - Accent3 2 8" xfId="1063"/>
    <cellStyle name="40% - Accent3 2 9" xfId="1064"/>
    <cellStyle name="40% - Accent3 2_Display" xfId="1065"/>
    <cellStyle name="40% - Accent3 20" xfId="4325"/>
    <cellStyle name="40% - Accent3 3" xfId="1066"/>
    <cellStyle name="40% - Accent3 3 2" xfId="1067"/>
    <cellStyle name="40% - Accent3 3 3" xfId="1068"/>
    <cellStyle name="40% - Accent3 3 4" xfId="1069"/>
    <cellStyle name="40% - Accent3 3 5" xfId="1070"/>
    <cellStyle name="40% - Accent3 3 5 2" xfId="1071"/>
    <cellStyle name="40% - Accent3 3 6" xfId="1072"/>
    <cellStyle name="40% - Accent3 3 7" xfId="1073"/>
    <cellStyle name="40% - Accent3 3 8" xfId="1074"/>
    <cellStyle name="40% - Accent3 3 9" xfId="1075"/>
    <cellStyle name="40% - Accent3 3_Display" xfId="1076"/>
    <cellStyle name="40% - Accent3 4" xfId="1077"/>
    <cellStyle name="40% - Accent3 4 2" xfId="1078"/>
    <cellStyle name="40% - Accent3 4_Display" xfId="1079"/>
    <cellStyle name="40% - Accent3 5" xfId="1080"/>
    <cellStyle name="40% - Accent3 5 2" xfId="1081"/>
    <cellStyle name="40% - Accent3 5_Display" xfId="1082"/>
    <cellStyle name="40% - Accent3 6" xfId="1083"/>
    <cellStyle name="40% - Accent3 6 2" xfId="1084"/>
    <cellStyle name="40% - Accent3 6_Display" xfId="1085"/>
    <cellStyle name="40% - Accent3 7" xfId="1086"/>
    <cellStyle name="40% - Accent3 8" xfId="1087"/>
    <cellStyle name="40% - Accent3 9" xfId="1088"/>
    <cellStyle name="40% - Accent3 9 2" xfId="1089"/>
    <cellStyle name="40% - Accent3 9 2 2" xfId="1090"/>
    <cellStyle name="40% - Accent3 9 3" xfId="1091"/>
    <cellStyle name="40% - Accent3 9 4" xfId="1092"/>
    <cellStyle name="40% - Accent3 9 5" xfId="1093"/>
    <cellStyle name="40% - Accent4 10" xfId="1094"/>
    <cellStyle name="40% - Accent4 10 2" xfId="1095"/>
    <cellStyle name="40% - Accent4 10 3" xfId="1096"/>
    <cellStyle name="40% - Accent4 11" xfId="1097"/>
    <cellStyle name="40% - Accent4 11 2" xfId="1098"/>
    <cellStyle name="40% - Accent4 11 3" xfId="1099"/>
    <cellStyle name="40% - Accent4 12" xfId="1100"/>
    <cellStyle name="40% - Accent4 12 2" xfId="1101"/>
    <cellStyle name="40% - Accent4 12 3" xfId="1102"/>
    <cellStyle name="40% - Accent4 13" xfId="1103"/>
    <cellStyle name="40% - Accent4 13 2" xfId="1104"/>
    <cellStyle name="40% - Accent4 13 3" xfId="1105"/>
    <cellStyle name="40% - Accent4 14" xfId="1106"/>
    <cellStyle name="40% - Accent4 14 2" xfId="1107"/>
    <cellStyle name="40% - Accent4 14 3" xfId="1108"/>
    <cellStyle name="40% - Accent4 15" xfId="1109"/>
    <cellStyle name="40% - Accent4 15 2" xfId="1110"/>
    <cellStyle name="40% - Accent4 15 3" xfId="1111"/>
    <cellStyle name="40% - Accent4 16" xfId="1112"/>
    <cellStyle name="40% - Accent4 17" xfId="1113"/>
    <cellStyle name="40% - Accent4 18" xfId="1114"/>
    <cellStyle name="40% - Accent4 19" xfId="1115"/>
    <cellStyle name="40% - Accent4 2" xfId="1116"/>
    <cellStyle name="40% - Accent4 2 10" xfId="1117"/>
    <cellStyle name="40% - Accent4 2 11" xfId="1118"/>
    <cellStyle name="40% - Accent4 2 12" xfId="1119"/>
    <cellStyle name="40% - Accent4 2 13" xfId="1120"/>
    <cellStyle name="40% - Accent4 2 14" xfId="1121"/>
    <cellStyle name="40% - Accent4 2 15" xfId="1122"/>
    <cellStyle name="40% - Accent4 2 2" xfId="1123"/>
    <cellStyle name="40% - Accent4 2 3" xfId="1124"/>
    <cellStyle name="40% - Accent4 2 4" xfId="1125"/>
    <cellStyle name="40% - Accent4 2 5" xfId="1126"/>
    <cellStyle name="40% - Accent4 2 6" xfId="1127"/>
    <cellStyle name="40% - Accent4 2 7" xfId="1128"/>
    <cellStyle name="40% - Accent4 2 8" xfId="1129"/>
    <cellStyle name="40% - Accent4 2 9" xfId="1130"/>
    <cellStyle name="40% - Accent4 2_Display" xfId="1131"/>
    <cellStyle name="40% - Accent4 20" xfId="4326"/>
    <cellStyle name="40% - Accent4 3" xfId="1132"/>
    <cellStyle name="40% - Accent4 3 2" xfId="1133"/>
    <cellStyle name="40% - Accent4 3 3" xfId="1134"/>
    <cellStyle name="40% - Accent4 3 4" xfId="1135"/>
    <cellStyle name="40% - Accent4 3 5" xfId="1136"/>
    <cellStyle name="40% - Accent4 3 5 2" xfId="1137"/>
    <cellStyle name="40% - Accent4 3 6" xfId="1138"/>
    <cellStyle name="40% - Accent4 3 7" xfId="1139"/>
    <cellStyle name="40% - Accent4 3 8" xfId="1140"/>
    <cellStyle name="40% - Accent4 3 9" xfId="1141"/>
    <cellStyle name="40% - Accent4 3_Display" xfId="1142"/>
    <cellStyle name="40% - Accent4 4" xfId="1143"/>
    <cellStyle name="40% - Accent4 4 2" xfId="1144"/>
    <cellStyle name="40% - Accent4 4_Display" xfId="1145"/>
    <cellStyle name="40% - Accent4 5" xfId="1146"/>
    <cellStyle name="40% - Accent4 5 2" xfId="1147"/>
    <cellStyle name="40% - Accent4 5_Display" xfId="1148"/>
    <cellStyle name="40% - Accent4 6" xfId="1149"/>
    <cellStyle name="40% - Accent4 6 2" xfId="1150"/>
    <cellStyle name="40% - Accent4 6_Display" xfId="1151"/>
    <cellStyle name="40% - Accent4 7" xfId="1152"/>
    <cellStyle name="40% - Accent4 8" xfId="1153"/>
    <cellStyle name="40% - Accent4 9" xfId="1154"/>
    <cellStyle name="40% - Accent4 9 2" xfId="1155"/>
    <cellStyle name="40% - Accent4 9 2 2" xfId="1156"/>
    <cellStyle name="40% - Accent4 9 3" xfId="1157"/>
    <cellStyle name="40% - Accent4 9 4" xfId="1158"/>
    <cellStyle name="40% - Accent4 9 5" xfId="1159"/>
    <cellStyle name="40% - Accent5 10" xfId="1160"/>
    <cellStyle name="40% - Accent5 10 2" xfId="1161"/>
    <cellStyle name="40% - Accent5 10 3" xfId="1162"/>
    <cellStyle name="40% - Accent5 11" xfId="1163"/>
    <cellStyle name="40% - Accent5 11 2" xfId="1164"/>
    <cellStyle name="40% - Accent5 11 3" xfId="1165"/>
    <cellStyle name="40% - Accent5 12" xfId="1166"/>
    <cellStyle name="40% - Accent5 12 2" xfId="1167"/>
    <cellStyle name="40% - Accent5 12 3" xfId="1168"/>
    <cellStyle name="40% - Accent5 13" xfId="1169"/>
    <cellStyle name="40% - Accent5 13 2" xfId="1170"/>
    <cellStyle name="40% - Accent5 13 3" xfId="1171"/>
    <cellStyle name="40% - Accent5 14" xfId="1172"/>
    <cellStyle name="40% - Accent5 14 2" xfId="1173"/>
    <cellStyle name="40% - Accent5 14 3" xfId="1174"/>
    <cellStyle name="40% - Accent5 15" xfId="1175"/>
    <cellStyle name="40% - Accent5 15 2" xfId="1176"/>
    <cellStyle name="40% - Accent5 15 3" xfId="1177"/>
    <cellStyle name="40% - Accent5 16" xfId="1178"/>
    <cellStyle name="40% - Accent5 17" xfId="1179"/>
    <cellStyle name="40% - Accent5 18" xfId="1180"/>
    <cellStyle name="40% - Accent5 19" xfId="1181"/>
    <cellStyle name="40% - Accent5 2" xfId="1182"/>
    <cellStyle name="40% - Accent5 2 10" xfId="1183"/>
    <cellStyle name="40% - Accent5 2 11" xfId="1184"/>
    <cellStyle name="40% - Accent5 2 12" xfId="1185"/>
    <cellStyle name="40% - Accent5 2 13" xfId="1186"/>
    <cellStyle name="40% - Accent5 2 14" xfId="1187"/>
    <cellStyle name="40% - Accent5 2 15" xfId="1188"/>
    <cellStyle name="40% - Accent5 2 2" xfId="1189"/>
    <cellStyle name="40% - Accent5 2 3" xfId="1190"/>
    <cellStyle name="40% - Accent5 2 4" xfId="1191"/>
    <cellStyle name="40% - Accent5 2 5" xfId="1192"/>
    <cellStyle name="40% - Accent5 2 6" xfId="1193"/>
    <cellStyle name="40% - Accent5 2 7" xfId="1194"/>
    <cellStyle name="40% - Accent5 2 8" xfId="1195"/>
    <cellStyle name="40% - Accent5 2 9" xfId="1196"/>
    <cellStyle name="40% - Accent5 2_Display" xfId="1197"/>
    <cellStyle name="40% - Accent5 20" xfId="4327"/>
    <cellStyle name="40% - Accent5 3" xfId="1198"/>
    <cellStyle name="40% - Accent5 3 2" xfId="1199"/>
    <cellStyle name="40% - Accent5 3 3" xfId="1200"/>
    <cellStyle name="40% - Accent5 3 4" xfId="1201"/>
    <cellStyle name="40% - Accent5 3 5" xfId="1202"/>
    <cellStyle name="40% - Accent5 3 5 2" xfId="1203"/>
    <cellStyle name="40% - Accent5 3 6" xfId="1204"/>
    <cellStyle name="40% - Accent5 3 7" xfId="1205"/>
    <cellStyle name="40% - Accent5 3 8" xfId="1206"/>
    <cellStyle name="40% - Accent5 3 9" xfId="1207"/>
    <cellStyle name="40% - Accent5 3_Display" xfId="1208"/>
    <cellStyle name="40% - Accent5 4" xfId="1209"/>
    <cellStyle name="40% - Accent5 4 2" xfId="1210"/>
    <cellStyle name="40% - Accent5 4_Display" xfId="1211"/>
    <cellStyle name="40% - Accent5 5" xfId="1212"/>
    <cellStyle name="40% - Accent5 5 2" xfId="1213"/>
    <cellStyle name="40% - Accent5 5_Display" xfId="1214"/>
    <cellStyle name="40% - Accent5 6" xfId="1215"/>
    <cellStyle name="40% - Accent5 6 2" xfId="1216"/>
    <cellStyle name="40% - Accent5 6_Display" xfId="1217"/>
    <cellStyle name="40% - Accent5 7" xfId="1218"/>
    <cellStyle name="40% - Accent5 8" xfId="1219"/>
    <cellStyle name="40% - Accent5 9" xfId="1220"/>
    <cellStyle name="40% - Accent5 9 2" xfId="1221"/>
    <cellStyle name="40% - Accent5 9 2 2" xfId="1222"/>
    <cellStyle name="40% - Accent5 9 3" xfId="1223"/>
    <cellStyle name="40% - Accent5 9 4" xfId="1224"/>
    <cellStyle name="40% - Accent5 9 5" xfId="1225"/>
    <cellStyle name="40% - Accent6 10" xfId="1226"/>
    <cellStyle name="40% - Accent6 10 2" xfId="1227"/>
    <cellStyle name="40% - Accent6 10 3" xfId="1228"/>
    <cellStyle name="40% - Accent6 11" xfId="1229"/>
    <cellStyle name="40% - Accent6 11 2" xfId="1230"/>
    <cellStyle name="40% - Accent6 11 3" xfId="1231"/>
    <cellStyle name="40% - Accent6 12" xfId="1232"/>
    <cellStyle name="40% - Accent6 12 2" xfId="1233"/>
    <cellStyle name="40% - Accent6 12 3" xfId="1234"/>
    <cellStyle name="40% - Accent6 13" xfId="1235"/>
    <cellStyle name="40% - Accent6 13 2" xfId="1236"/>
    <cellStyle name="40% - Accent6 13 3" xfId="1237"/>
    <cellStyle name="40% - Accent6 14" xfId="1238"/>
    <cellStyle name="40% - Accent6 14 2" xfId="1239"/>
    <cellStyle name="40% - Accent6 14 3" xfId="1240"/>
    <cellStyle name="40% - Accent6 15" xfId="1241"/>
    <cellStyle name="40% - Accent6 15 2" xfId="1242"/>
    <cellStyle name="40% - Accent6 15 3" xfId="1243"/>
    <cellStyle name="40% - Accent6 16" xfId="1244"/>
    <cellStyle name="40% - Accent6 17" xfId="1245"/>
    <cellStyle name="40% - Accent6 18" xfId="1246"/>
    <cellStyle name="40% - Accent6 19" xfId="1247"/>
    <cellStyle name="40% - Accent6 2" xfId="1248"/>
    <cellStyle name="40% - Accent6 2 10" xfId="1249"/>
    <cellStyle name="40% - Accent6 2 11" xfId="1250"/>
    <cellStyle name="40% - Accent6 2 12" xfId="1251"/>
    <cellStyle name="40% - Accent6 2 13" xfId="1252"/>
    <cellStyle name="40% - Accent6 2 14" xfId="1253"/>
    <cellStyle name="40% - Accent6 2 15" xfId="1254"/>
    <cellStyle name="40% - Accent6 2 2" xfId="1255"/>
    <cellStyle name="40% - Accent6 2 3" xfId="1256"/>
    <cellStyle name="40% - Accent6 2 4" xfId="1257"/>
    <cellStyle name="40% - Accent6 2 5" xfId="1258"/>
    <cellStyle name="40% - Accent6 2 6" xfId="1259"/>
    <cellStyle name="40% - Accent6 2 7" xfId="1260"/>
    <cellStyle name="40% - Accent6 2 8" xfId="1261"/>
    <cellStyle name="40% - Accent6 2 9" xfId="1262"/>
    <cellStyle name="40% - Accent6 2_Display" xfId="1263"/>
    <cellStyle name="40% - Accent6 20" xfId="4328"/>
    <cellStyle name="40% - Accent6 3" xfId="1264"/>
    <cellStyle name="40% - Accent6 3 2" xfId="1265"/>
    <cellStyle name="40% - Accent6 3 3" xfId="1266"/>
    <cellStyle name="40% - Accent6 3 4" xfId="1267"/>
    <cellStyle name="40% - Accent6 3 5" xfId="1268"/>
    <cellStyle name="40% - Accent6 3 5 2" xfId="1269"/>
    <cellStyle name="40% - Accent6 3 6" xfId="1270"/>
    <cellStyle name="40% - Accent6 3 7" xfId="1271"/>
    <cellStyle name="40% - Accent6 3 8" xfId="1272"/>
    <cellStyle name="40% - Accent6 3 9" xfId="1273"/>
    <cellStyle name="40% - Accent6 3_Display" xfId="1274"/>
    <cellStyle name="40% - Accent6 4" xfId="1275"/>
    <cellStyle name="40% - Accent6 4 2" xfId="1276"/>
    <cellStyle name="40% - Accent6 4_Display" xfId="1277"/>
    <cellStyle name="40% - Accent6 5" xfId="1278"/>
    <cellStyle name="40% - Accent6 5 2" xfId="1279"/>
    <cellStyle name="40% - Accent6 5_Display" xfId="1280"/>
    <cellStyle name="40% - Accent6 6" xfId="1281"/>
    <cellStyle name="40% - Accent6 6 2" xfId="1282"/>
    <cellStyle name="40% - Accent6 6_Display" xfId="1283"/>
    <cellStyle name="40% - Accent6 7" xfId="1284"/>
    <cellStyle name="40% - Accent6 8" xfId="1285"/>
    <cellStyle name="40% - Accent6 9" xfId="1286"/>
    <cellStyle name="40% - Accent6 9 2" xfId="1287"/>
    <cellStyle name="40% - Accent6 9 2 2" xfId="1288"/>
    <cellStyle name="40% - Accent6 9 3" xfId="1289"/>
    <cellStyle name="40% - Accent6 9 4" xfId="1290"/>
    <cellStyle name="40% - Accent6 9 5" xfId="1291"/>
    <cellStyle name="40% - 强调文字颜色 1" xfId="1292"/>
    <cellStyle name="40% - 强调文字颜色 2" xfId="1293"/>
    <cellStyle name="40% - 强调文字颜色 3" xfId="1294"/>
    <cellStyle name="40% - 强调文字颜色 4" xfId="1295"/>
    <cellStyle name="40% - 强调文字颜色 5" xfId="1296"/>
    <cellStyle name="40% - 强调文字颜色 6" xfId="1297"/>
    <cellStyle name="40% - 輔色1" xfId="1298"/>
    <cellStyle name="40% - 輔色2" xfId="1299"/>
    <cellStyle name="40% - 輔色3" xfId="1300"/>
    <cellStyle name="40% - 輔色4" xfId="1301"/>
    <cellStyle name="40% - 輔色5" xfId="1302"/>
    <cellStyle name="40% - 輔色6" xfId="1303"/>
    <cellStyle name="60% - Accent1 10" xfId="1304"/>
    <cellStyle name="60% - Accent1 10 2" xfId="1305"/>
    <cellStyle name="60% - Accent1 10 3" xfId="1306"/>
    <cellStyle name="60% - Accent1 11" xfId="1307"/>
    <cellStyle name="60% - Accent1 11 2" xfId="1308"/>
    <cellStyle name="60% - Accent1 11 3" xfId="1309"/>
    <cellStyle name="60% - Accent1 12" xfId="1310"/>
    <cellStyle name="60% - Accent1 12 2" xfId="1311"/>
    <cellStyle name="60% - Accent1 12 3" xfId="1312"/>
    <cellStyle name="60% - Accent1 13" xfId="1313"/>
    <cellStyle name="60% - Accent1 13 2" xfId="1314"/>
    <cellStyle name="60% - Accent1 13 3" xfId="1315"/>
    <cellStyle name="60% - Accent1 14" xfId="1316"/>
    <cellStyle name="60% - Accent1 14 2" xfId="1317"/>
    <cellStyle name="60% - Accent1 14 3" xfId="1318"/>
    <cellStyle name="60% - Accent1 15" xfId="1319"/>
    <cellStyle name="60% - Accent1 15 2" xfId="1320"/>
    <cellStyle name="60% - Accent1 15 3" xfId="1321"/>
    <cellStyle name="60% - Accent1 16" xfId="1322"/>
    <cellStyle name="60% - Accent1 17" xfId="1323"/>
    <cellStyle name="60% - Accent1 18" xfId="1324"/>
    <cellStyle name="60% - Accent1 19" xfId="1325"/>
    <cellStyle name="60% - Accent1 2" xfId="1326"/>
    <cellStyle name="60% - Accent1 2 10" xfId="1327"/>
    <cellStyle name="60% - Accent1 2 11" xfId="1328"/>
    <cellStyle name="60% - Accent1 2 12" xfId="1329"/>
    <cellStyle name="60% - Accent1 2 13" xfId="1330"/>
    <cellStyle name="60% - Accent1 2 14" xfId="1331"/>
    <cellStyle name="60% - Accent1 2 15" xfId="1332"/>
    <cellStyle name="60% - Accent1 2 2" xfId="1333"/>
    <cellStyle name="60% - Accent1 2 3" xfId="1334"/>
    <cellStyle name="60% - Accent1 2 4" xfId="1335"/>
    <cellStyle name="60% - Accent1 2 5" xfId="1336"/>
    <cellStyle name="60% - Accent1 2 6" xfId="1337"/>
    <cellStyle name="60% - Accent1 2 7" xfId="1338"/>
    <cellStyle name="60% - Accent1 2 8" xfId="1339"/>
    <cellStyle name="60% - Accent1 2 9" xfId="1340"/>
    <cellStyle name="60% - Accent1 20" xfId="4329"/>
    <cellStyle name="60% - Accent1 3" xfId="1341"/>
    <cellStyle name="60% - Accent1 3 2" xfId="1342"/>
    <cellStyle name="60% - Accent1 3 3" xfId="1343"/>
    <cellStyle name="60% - Accent1 3 4" xfId="1344"/>
    <cellStyle name="60% - Accent1 3 5" xfId="1345"/>
    <cellStyle name="60% - Accent1 3 5 2" xfId="1346"/>
    <cellStyle name="60% - Accent1 3 6" xfId="1347"/>
    <cellStyle name="60% - Accent1 3 7" xfId="1348"/>
    <cellStyle name="60% - Accent1 3 8" xfId="1349"/>
    <cellStyle name="60% - Accent1 3 9" xfId="1350"/>
    <cellStyle name="60% - Accent1 4" xfId="1351"/>
    <cellStyle name="60% - Accent1 4 2" xfId="1352"/>
    <cellStyle name="60% - Accent1 5" xfId="1353"/>
    <cellStyle name="60% - Accent1 5 2" xfId="1354"/>
    <cellStyle name="60% - Accent1 6" xfId="1355"/>
    <cellStyle name="60% - Accent1 6 2" xfId="1356"/>
    <cellStyle name="60% - Accent1 7" xfId="1357"/>
    <cellStyle name="60% - Accent1 8" xfId="1358"/>
    <cellStyle name="60% - Accent1 9" xfId="1359"/>
    <cellStyle name="60% - Accent1 9 2" xfId="1360"/>
    <cellStyle name="60% - Accent1 9 2 2" xfId="1361"/>
    <cellStyle name="60% - Accent1 9 3" xfId="1362"/>
    <cellStyle name="60% - Accent1 9 4" xfId="1363"/>
    <cellStyle name="60% - Accent1 9 5" xfId="1364"/>
    <cellStyle name="60% - Accent2 10" xfId="1365"/>
    <cellStyle name="60% - Accent2 10 2" xfId="1366"/>
    <cellStyle name="60% - Accent2 10 3" xfId="1367"/>
    <cellStyle name="60% - Accent2 11" xfId="1368"/>
    <cellStyle name="60% - Accent2 11 2" xfId="1369"/>
    <cellStyle name="60% - Accent2 11 3" xfId="1370"/>
    <cellStyle name="60% - Accent2 12" xfId="1371"/>
    <cellStyle name="60% - Accent2 12 2" xfId="1372"/>
    <cellStyle name="60% - Accent2 12 3" xfId="1373"/>
    <cellStyle name="60% - Accent2 13" xfId="1374"/>
    <cellStyle name="60% - Accent2 13 2" xfId="1375"/>
    <cellStyle name="60% - Accent2 13 3" xfId="1376"/>
    <cellStyle name="60% - Accent2 14" xfId="1377"/>
    <cellStyle name="60% - Accent2 14 2" xfId="1378"/>
    <cellStyle name="60% - Accent2 14 3" xfId="1379"/>
    <cellStyle name="60% - Accent2 15" xfId="1380"/>
    <cellStyle name="60% - Accent2 15 2" xfId="1381"/>
    <cellStyle name="60% - Accent2 15 3" xfId="1382"/>
    <cellStyle name="60% - Accent2 16" xfId="1383"/>
    <cellStyle name="60% - Accent2 17" xfId="1384"/>
    <cellStyle name="60% - Accent2 18" xfId="1385"/>
    <cellStyle name="60% - Accent2 19" xfId="1386"/>
    <cellStyle name="60% - Accent2 2" xfId="1387"/>
    <cellStyle name="60% - Accent2 2 10" xfId="1388"/>
    <cellStyle name="60% - Accent2 2 11" xfId="1389"/>
    <cellStyle name="60% - Accent2 2 12" xfId="1390"/>
    <cellStyle name="60% - Accent2 2 13" xfId="1391"/>
    <cellStyle name="60% - Accent2 2 14" xfId="1392"/>
    <cellStyle name="60% - Accent2 2 15" xfId="1393"/>
    <cellStyle name="60% - Accent2 2 2" xfId="1394"/>
    <cellStyle name="60% - Accent2 2 3" xfId="1395"/>
    <cellStyle name="60% - Accent2 2 4" xfId="1396"/>
    <cellStyle name="60% - Accent2 2 5" xfId="1397"/>
    <cellStyle name="60% - Accent2 2 6" xfId="1398"/>
    <cellStyle name="60% - Accent2 2 7" xfId="1399"/>
    <cellStyle name="60% - Accent2 2 8" xfId="1400"/>
    <cellStyle name="60% - Accent2 2 9" xfId="1401"/>
    <cellStyle name="60% - Accent2 20" xfId="4330"/>
    <cellStyle name="60% - Accent2 3" xfId="1402"/>
    <cellStyle name="60% - Accent2 3 2" xfId="1403"/>
    <cellStyle name="60% - Accent2 3 3" xfId="1404"/>
    <cellStyle name="60% - Accent2 3 4" xfId="1405"/>
    <cellStyle name="60% - Accent2 3 5" xfId="1406"/>
    <cellStyle name="60% - Accent2 3 6" xfId="1407"/>
    <cellStyle name="60% - Accent2 3 7" xfId="1408"/>
    <cellStyle name="60% - Accent2 3 8" xfId="1409"/>
    <cellStyle name="60% - Accent2 4" xfId="1410"/>
    <cellStyle name="60% - Accent2 4 2" xfId="1411"/>
    <cellStyle name="60% - Accent2 5" xfId="1412"/>
    <cellStyle name="60% - Accent2 5 2" xfId="1413"/>
    <cellStyle name="60% - Accent2 6" xfId="1414"/>
    <cellStyle name="60% - Accent2 6 2" xfId="1415"/>
    <cellStyle name="60% - Accent2 7" xfId="1416"/>
    <cellStyle name="60% - Accent2 8" xfId="1417"/>
    <cellStyle name="60% - Accent2 9" xfId="1418"/>
    <cellStyle name="60% - Accent2 9 2" xfId="1419"/>
    <cellStyle name="60% - Accent2 9 3" xfId="1420"/>
    <cellStyle name="60% - Accent2 9 4" xfId="1421"/>
    <cellStyle name="60% - Accent3 10" xfId="1422"/>
    <cellStyle name="60% - Accent3 10 2" xfId="1423"/>
    <cellStyle name="60% - Accent3 10 3" xfId="1424"/>
    <cellStyle name="60% - Accent3 11" xfId="1425"/>
    <cellStyle name="60% - Accent3 11 2" xfId="1426"/>
    <cellStyle name="60% - Accent3 11 3" xfId="1427"/>
    <cellStyle name="60% - Accent3 12" xfId="1428"/>
    <cellStyle name="60% - Accent3 12 2" xfId="1429"/>
    <cellStyle name="60% - Accent3 12 3" xfId="1430"/>
    <cellStyle name="60% - Accent3 13" xfId="1431"/>
    <cellStyle name="60% - Accent3 13 2" xfId="1432"/>
    <cellStyle name="60% - Accent3 13 3" xfId="1433"/>
    <cellStyle name="60% - Accent3 14" xfId="1434"/>
    <cellStyle name="60% - Accent3 14 2" xfId="1435"/>
    <cellStyle name="60% - Accent3 14 3" xfId="1436"/>
    <cellStyle name="60% - Accent3 15" xfId="1437"/>
    <cellStyle name="60% - Accent3 15 2" xfId="1438"/>
    <cellStyle name="60% - Accent3 15 3" xfId="1439"/>
    <cellStyle name="60% - Accent3 16" xfId="1440"/>
    <cellStyle name="60% - Accent3 17" xfId="1441"/>
    <cellStyle name="60% - Accent3 18" xfId="1442"/>
    <cellStyle name="60% - Accent3 19" xfId="1443"/>
    <cellStyle name="60% - Accent3 2" xfId="1444"/>
    <cellStyle name="60% - Accent3 2 10" xfId="1445"/>
    <cellStyle name="60% - Accent3 2 11" xfId="1446"/>
    <cellStyle name="60% - Accent3 2 12" xfId="1447"/>
    <cellStyle name="60% - Accent3 2 13" xfId="1448"/>
    <cellStyle name="60% - Accent3 2 14" xfId="1449"/>
    <cellStyle name="60% - Accent3 2 15" xfId="1450"/>
    <cellStyle name="60% - Accent3 2 2" xfId="1451"/>
    <cellStyle name="60% - Accent3 2 3" xfId="1452"/>
    <cellStyle name="60% - Accent3 2 4" xfId="1453"/>
    <cellStyle name="60% - Accent3 2 5" xfId="1454"/>
    <cellStyle name="60% - Accent3 2 6" xfId="1455"/>
    <cellStyle name="60% - Accent3 2 7" xfId="1456"/>
    <cellStyle name="60% - Accent3 2 8" xfId="1457"/>
    <cellStyle name="60% - Accent3 2 9" xfId="1458"/>
    <cellStyle name="60% - Accent3 20" xfId="4331"/>
    <cellStyle name="60% - Accent3 3" xfId="1459"/>
    <cellStyle name="60% - Accent3 3 2" xfId="1460"/>
    <cellStyle name="60% - Accent3 3 3" xfId="1461"/>
    <cellStyle name="60% - Accent3 3 4" xfId="1462"/>
    <cellStyle name="60% - Accent3 3 5" xfId="1463"/>
    <cellStyle name="60% - Accent3 3 5 2" xfId="1464"/>
    <cellStyle name="60% - Accent3 3 6" xfId="1465"/>
    <cellStyle name="60% - Accent3 3 7" xfId="1466"/>
    <cellStyle name="60% - Accent3 3 8" xfId="1467"/>
    <cellStyle name="60% - Accent3 3 9" xfId="1468"/>
    <cellStyle name="60% - Accent3 4" xfId="1469"/>
    <cellStyle name="60% - Accent3 4 2" xfId="1470"/>
    <cellStyle name="60% - Accent3 5" xfId="1471"/>
    <cellStyle name="60% - Accent3 5 2" xfId="1472"/>
    <cellStyle name="60% - Accent3 6" xfId="1473"/>
    <cellStyle name="60% - Accent3 6 2" xfId="1474"/>
    <cellStyle name="60% - Accent3 7" xfId="1475"/>
    <cellStyle name="60% - Accent3 8" xfId="1476"/>
    <cellStyle name="60% - Accent3 9" xfId="1477"/>
    <cellStyle name="60% - Accent3 9 2" xfId="1478"/>
    <cellStyle name="60% - Accent3 9 2 2" xfId="1479"/>
    <cellStyle name="60% - Accent3 9 3" xfId="1480"/>
    <cellStyle name="60% - Accent3 9 4" xfId="1481"/>
    <cellStyle name="60% - Accent3 9 5" xfId="1482"/>
    <cellStyle name="60% - Accent4 10" xfId="1483"/>
    <cellStyle name="60% - Accent4 10 2" xfId="1484"/>
    <cellStyle name="60% - Accent4 10 3" xfId="1485"/>
    <cellStyle name="60% - Accent4 11" xfId="1486"/>
    <cellStyle name="60% - Accent4 11 2" xfId="1487"/>
    <cellStyle name="60% - Accent4 11 3" xfId="1488"/>
    <cellStyle name="60% - Accent4 12" xfId="1489"/>
    <cellStyle name="60% - Accent4 12 2" xfId="1490"/>
    <cellStyle name="60% - Accent4 12 3" xfId="1491"/>
    <cellStyle name="60% - Accent4 13" xfId="1492"/>
    <cellStyle name="60% - Accent4 13 2" xfId="1493"/>
    <cellStyle name="60% - Accent4 13 3" xfId="1494"/>
    <cellStyle name="60% - Accent4 14" xfId="1495"/>
    <cellStyle name="60% - Accent4 14 2" xfId="1496"/>
    <cellStyle name="60% - Accent4 14 3" xfId="1497"/>
    <cellStyle name="60% - Accent4 15" xfId="1498"/>
    <cellStyle name="60% - Accent4 15 2" xfId="1499"/>
    <cellStyle name="60% - Accent4 15 3" xfId="1500"/>
    <cellStyle name="60% - Accent4 16" xfId="1501"/>
    <cellStyle name="60% - Accent4 17" xfId="1502"/>
    <cellStyle name="60% - Accent4 18" xfId="1503"/>
    <cellStyle name="60% - Accent4 19" xfId="1504"/>
    <cellStyle name="60% - Accent4 2" xfId="1505"/>
    <cellStyle name="60% - Accent4 2 10" xfId="1506"/>
    <cellStyle name="60% - Accent4 2 11" xfId="1507"/>
    <cellStyle name="60% - Accent4 2 12" xfId="1508"/>
    <cellStyle name="60% - Accent4 2 13" xfId="1509"/>
    <cellStyle name="60% - Accent4 2 14" xfId="1510"/>
    <cellStyle name="60% - Accent4 2 15" xfId="1511"/>
    <cellStyle name="60% - Accent4 2 2" xfId="1512"/>
    <cellStyle name="60% - Accent4 2 3" xfId="1513"/>
    <cellStyle name="60% - Accent4 2 4" xfId="1514"/>
    <cellStyle name="60% - Accent4 2 5" xfId="1515"/>
    <cellStyle name="60% - Accent4 2 6" xfId="1516"/>
    <cellStyle name="60% - Accent4 2 7" xfId="1517"/>
    <cellStyle name="60% - Accent4 2 8" xfId="1518"/>
    <cellStyle name="60% - Accent4 2 9" xfId="1519"/>
    <cellStyle name="60% - Accent4 20" xfId="4332"/>
    <cellStyle name="60% - Accent4 3" xfId="1520"/>
    <cellStyle name="60% - Accent4 3 2" xfId="1521"/>
    <cellStyle name="60% - Accent4 3 3" xfId="1522"/>
    <cellStyle name="60% - Accent4 3 4" xfId="1523"/>
    <cellStyle name="60% - Accent4 3 5" xfId="1524"/>
    <cellStyle name="60% - Accent4 3 5 2" xfId="1525"/>
    <cellStyle name="60% - Accent4 3 6" xfId="1526"/>
    <cellStyle name="60% - Accent4 3 7" xfId="1527"/>
    <cellStyle name="60% - Accent4 3 8" xfId="1528"/>
    <cellStyle name="60% - Accent4 3 9" xfId="1529"/>
    <cellStyle name="60% - Accent4 4" xfId="1530"/>
    <cellStyle name="60% - Accent4 4 2" xfId="1531"/>
    <cellStyle name="60% - Accent4 5" xfId="1532"/>
    <cellStyle name="60% - Accent4 5 2" xfId="1533"/>
    <cellStyle name="60% - Accent4 6" xfId="1534"/>
    <cellStyle name="60% - Accent4 6 2" xfId="1535"/>
    <cellStyle name="60% - Accent4 7" xfId="1536"/>
    <cellStyle name="60% - Accent4 8" xfId="1537"/>
    <cellStyle name="60% - Accent4 9" xfId="1538"/>
    <cellStyle name="60% - Accent4 9 2" xfId="1539"/>
    <cellStyle name="60% - Accent4 9 2 2" xfId="1540"/>
    <cellStyle name="60% - Accent4 9 3" xfId="1541"/>
    <cellStyle name="60% - Accent4 9 4" xfId="1542"/>
    <cellStyle name="60% - Accent4 9 5" xfId="1543"/>
    <cellStyle name="60% - Accent5 10" xfId="1544"/>
    <cellStyle name="60% - Accent5 10 2" xfId="1545"/>
    <cellStyle name="60% - Accent5 10 3" xfId="1546"/>
    <cellStyle name="60% - Accent5 11" xfId="1547"/>
    <cellStyle name="60% - Accent5 11 2" xfId="1548"/>
    <cellStyle name="60% - Accent5 11 3" xfId="1549"/>
    <cellStyle name="60% - Accent5 12" xfId="1550"/>
    <cellStyle name="60% - Accent5 12 2" xfId="1551"/>
    <cellStyle name="60% - Accent5 12 3" xfId="1552"/>
    <cellStyle name="60% - Accent5 13" xfId="1553"/>
    <cellStyle name="60% - Accent5 13 2" xfId="1554"/>
    <cellStyle name="60% - Accent5 13 3" xfId="1555"/>
    <cellStyle name="60% - Accent5 14" xfId="1556"/>
    <cellStyle name="60% - Accent5 14 2" xfId="1557"/>
    <cellStyle name="60% - Accent5 14 3" xfId="1558"/>
    <cellStyle name="60% - Accent5 15" xfId="1559"/>
    <cellStyle name="60% - Accent5 15 2" xfId="1560"/>
    <cellStyle name="60% - Accent5 15 3" xfId="1561"/>
    <cellStyle name="60% - Accent5 16" xfId="1562"/>
    <cellStyle name="60% - Accent5 17" xfId="1563"/>
    <cellStyle name="60% - Accent5 18" xfId="1564"/>
    <cellStyle name="60% - Accent5 19" xfId="1565"/>
    <cellStyle name="60% - Accent5 2" xfId="1566"/>
    <cellStyle name="60% - Accent5 2 10" xfId="1567"/>
    <cellStyle name="60% - Accent5 2 11" xfId="1568"/>
    <cellStyle name="60% - Accent5 2 12" xfId="1569"/>
    <cellStyle name="60% - Accent5 2 13" xfId="1570"/>
    <cellStyle name="60% - Accent5 2 14" xfId="1571"/>
    <cellStyle name="60% - Accent5 2 15" xfId="1572"/>
    <cellStyle name="60% - Accent5 2 2" xfId="1573"/>
    <cellStyle name="60% - Accent5 2 3" xfId="1574"/>
    <cellStyle name="60% - Accent5 2 4" xfId="1575"/>
    <cellStyle name="60% - Accent5 2 5" xfId="1576"/>
    <cellStyle name="60% - Accent5 2 6" xfId="1577"/>
    <cellStyle name="60% - Accent5 2 7" xfId="1578"/>
    <cellStyle name="60% - Accent5 2 8" xfId="1579"/>
    <cellStyle name="60% - Accent5 2 9" xfId="1580"/>
    <cellStyle name="60% - Accent5 20" xfId="4333"/>
    <cellStyle name="60% - Accent5 3" xfId="1581"/>
    <cellStyle name="60% - Accent5 3 2" xfId="1582"/>
    <cellStyle name="60% - Accent5 3 3" xfId="1583"/>
    <cellStyle name="60% - Accent5 3 4" xfId="1584"/>
    <cellStyle name="60% - Accent5 3 5" xfId="1585"/>
    <cellStyle name="60% - Accent5 3 5 2" xfId="1586"/>
    <cellStyle name="60% - Accent5 3 6" xfId="1587"/>
    <cellStyle name="60% - Accent5 3 7" xfId="1588"/>
    <cellStyle name="60% - Accent5 3 8" xfId="1589"/>
    <cellStyle name="60% - Accent5 3 9" xfId="1590"/>
    <cellStyle name="60% - Accent5 4" xfId="1591"/>
    <cellStyle name="60% - Accent5 4 2" xfId="1592"/>
    <cellStyle name="60% - Accent5 5" xfId="1593"/>
    <cellStyle name="60% - Accent5 5 2" xfId="1594"/>
    <cellStyle name="60% - Accent5 6" xfId="1595"/>
    <cellStyle name="60% - Accent5 6 2" xfId="1596"/>
    <cellStyle name="60% - Accent5 7" xfId="1597"/>
    <cellStyle name="60% - Accent5 8" xfId="1598"/>
    <cellStyle name="60% - Accent5 9" xfId="1599"/>
    <cellStyle name="60% - Accent5 9 2" xfId="1600"/>
    <cellStyle name="60% - Accent5 9 2 2" xfId="1601"/>
    <cellStyle name="60% - Accent5 9 3" xfId="1602"/>
    <cellStyle name="60% - Accent5 9 4" xfId="1603"/>
    <cellStyle name="60% - Accent5 9 5" xfId="1604"/>
    <cellStyle name="60% - Accent6 10" xfId="1605"/>
    <cellStyle name="60% - Accent6 10 2" xfId="1606"/>
    <cellStyle name="60% - Accent6 10 3" xfId="1607"/>
    <cellStyle name="60% - Accent6 11" xfId="1608"/>
    <cellStyle name="60% - Accent6 11 2" xfId="1609"/>
    <cellStyle name="60% - Accent6 11 3" xfId="1610"/>
    <cellStyle name="60% - Accent6 12" xfId="1611"/>
    <cellStyle name="60% - Accent6 12 2" xfId="1612"/>
    <cellStyle name="60% - Accent6 12 3" xfId="1613"/>
    <cellStyle name="60% - Accent6 13" xfId="1614"/>
    <cellStyle name="60% - Accent6 13 2" xfId="1615"/>
    <cellStyle name="60% - Accent6 13 3" xfId="1616"/>
    <cellStyle name="60% - Accent6 14" xfId="1617"/>
    <cellStyle name="60% - Accent6 14 2" xfId="1618"/>
    <cellStyle name="60% - Accent6 14 3" xfId="1619"/>
    <cellStyle name="60% - Accent6 15" xfId="1620"/>
    <cellStyle name="60% - Accent6 15 2" xfId="1621"/>
    <cellStyle name="60% - Accent6 15 3" xfId="1622"/>
    <cellStyle name="60% - Accent6 16" xfId="1623"/>
    <cellStyle name="60% - Accent6 17" xfId="1624"/>
    <cellStyle name="60% - Accent6 18" xfId="1625"/>
    <cellStyle name="60% - Accent6 19" xfId="1626"/>
    <cellStyle name="60% - Accent6 2" xfId="1627"/>
    <cellStyle name="60% - Accent6 2 10" xfId="1628"/>
    <cellStyle name="60% - Accent6 2 11" xfId="1629"/>
    <cellStyle name="60% - Accent6 2 12" xfId="1630"/>
    <cellStyle name="60% - Accent6 2 13" xfId="1631"/>
    <cellStyle name="60% - Accent6 2 14" xfId="1632"/>
    <cellStyle name="60% - Accent6 2 15" xfId="1633"/>
    <cellStyle name="60% - Accent6 2 2" xfId="1634"/>
    <cellStyle name="60% - Accent6 2 3" xfId="1635"/>
    <cellStyle name="60% - Accent6 2 4" xfId="1636"/>
    <cellStyle name="60% - Accent6 2 5" xfId="1637"/>
    <cellStyle name="60% - Accent6 2 6" xfId="1638"/>
    <cellStyle name="60% - Accent6 2 7" xfId="1639"/>
    <cellStyle name="60% - Accent6 2 8" xfId="1640"/>
    <cellStyle name="60% - Accent6 2 9" xfId="1641"/>
    <cellStyle name="60% - Accent6 20" xfId="4334"/>
    <cellStyle name="60% - Accent6 3" xfId="1642"/>
    <cellStyle name="60% - Accent6 3 2" xfId="1643"/>
    <cellStyle name="60% - Accent6 3 3" xfId="1644"/>
    <cellStyle name="60% - Accent6 3 4" xfId="1645"/>
    <cellStyle name="60% - Accent6 3 5" xfId="1646"/>
    <cellStyle name="60% - Accent6 3 5 2" xfId="1647"/>
    <cellStyle name="60% - Accent6 3 6" xfId="1648"/>
    <cellStyle name="60% - Accent6 3 7" xfId="1649"/>
    <cellStyle name="60% - Accent6 3 8" xfId="1650"/>
    <cellStyle name="60% - Accent6 3 9" xfId="1651"/>
    <cellStyle name="60% - Accent6 4" xfId="1652"/>
    <cellStyle name="60% - Accent6 4 2" xfId="1653"/>
    <cellStyle name="60% - Accent6 5" xfId="1654"/>
    <cellStyle name="60% - Accent6 5 2" xfId="1655"/>
    <cellStyle name="60% - Accent6 6" xfId="1656"/>
    <cellStyle name="60% - Accent6 6 2" xfId="1657"/>
    <cellStyle name="60% - Accent6 7" xfId="1658"/>
    <cellStyle name="60% - Accent6 8" xfId="1659"/>
    <cellStyle name="60% - Accent6 9" xfId="1660"/>
    <cellStyle name="60% - Accent6 9 2" xfId="1661"/>
    <cellStyle name="60% - Accent6 9 2 2" xfId="1662"/>
    <cellStyle name="60% - Accent6 9 3" xfId="1663"/>
    <cellStyle name="60% - Accent6 9 4" xfId="1664"/>
    <cellStyle name="60% - Accent6 9 5" xfId="1665"/>
    <cellStyle name="60% - 强调文字颜色 1" xfId="1666"/>
    <cellStyle name="60% - 强调文字颜色 2" xfId="1667"/>
    <cellStyle name="60% - 强调文字颜色 3" xfId="1668"/>
    <cellStyle name="60% - 强调文字颜色 4" xfId="1669"/>
    <cellStyle name="60% - 强调文字颜色 5" xfId="1670"/>
    <cellStyle name="60% - 强调文字颜色 6" xfId="1671"/>
    <cellStyle name="60% - 輔色1" xfId="1672"/>
    <cellStyle name="60% - 輔色2" xfId="1673"/>
    <cellStyle name="60% - 輔色3" xfId="1674"/>
    <cellStyle name="60% - 輔色4" xfId="1675"/>
    <cellStyle name="60% - 輔色5" xfId="1676"/>
    <cellStyle name="60% - 輔色6" xfId="1677"/>
    <cellStyle name="Accent1 10" xfId="1678"/>
    <cellStyle name="Accent1 10 2" xfId="1679"/>
    <cellStyle name="Accent1 10 3" xfId="1680"/>
    <cellStyle name="Accent1 11" xfId="1681"/>
    <cellStyle name="Accent1 11 2" xfId="1682"/>
    <cellStyle name="Accent1 11 3" xfId="1683"/>
    <cellStyle name="Accent1 12" xfId="1684"/>
    <cellStyle name="Accent1 12 2" xfId="1685"/>
    <cellStyle name="Accent1 12 3" xfId="1686"/>
    <cellStyle name="Accent1 13" xfId="1687"/>
    <cellStyle name="Accent1 13 2" xfId="1688"/>
    <cellStyle name="Accent1 13 3" xfId="1689"/>
    <cellStyle name="Accent1 14" xfId="1690"/>
    <cellStyle name="Accent1 14 2" xfId="1691"/>
    <cellStyle name="Accent1 14 3" xfId="1692"/>
    <cellStyle name="Accent1 15" xfId="1693"/>
    <cellStyle name="Accent1 15 2" xfId="1694"/>
    <cellStyle name="Accent1 15 3" xfId="1695"/>
    <cellStyle name="Accent1 16" xfId="1696"/>
    <cellStyle name="Accent1 17" xfId="1697"/>
    <cellStyle name="Accent1 18" xfId="1698"/>
    <cellStyle name="Accent1 19" xfId="1699"/>
    <cellStyle name="Accent1 2" xfId="1700"/>
    <cellStyle name="Accent1 2 10" xfId="1701"/>
    <cellStyle name="Accent1 2 11" xfId="1702"/>
    <cellStyle name="Accent1 2 12" xfId="1703"/>
    <cellStyle name="Accent1 2 13" xfId="1704"/>
    <cellStyle name="Accent1 2 14" xfId="1705"/>
    <cellStyle name="Accent1 2 15" xfId="1706"/>
    <cellStyle name="Accent1 2 2" xfId="1707"/>
    <cellStyle name="Accent1 2 3" xfId="1708"/>
    <cellStyle name="Accent1 2 4" xfId="1709"/>
    <cellStyle name="Accent1 2 5" xfId="1710"/>
    <cellStyle name="Accent1 2 6" xfId="1711"/>
    <cellStyle name="Accent1 2 7" xfId="1712"/>
    <cellStyle name="Accent1 2 8" xfId="1713"/>
    <cellStyle name="Accent1 2 9" xfId="1714"/>
    <cellStyle name="Accent1 20" xfId="4335"/>
    <cellStyle name="Accent1 3" xfId="1715"/>
    <cellStyle name="Accent1 3 2" xfId="1716"/>
    <cellStyle name="Accent1 3 3" xfId="1717"/>
    <cellStyle name="Accent1 3 4" xfId="1718"/>
    <cellStyle name="Accent1 3 5" xfId="1719"/>
    <cellStyle name="Accent1 3 5 2" xfId="1720"/>
    <cellStyle name="Accent1 3 6" xfId="1721"/>
    <cellStyle name="Accent1 3 7" xfId="1722"/>
    <cellStyle name="Accent1 3 8" xfId="1723"/>
    <cellStyle name="Accent1 3 9" xfId="1724"/>
    <cellStyle name="Accent1 4" xfId="1725"/>
    <cellStyle name="Accent1 4 2" xfId="1726"/>
    <cellStyle name="Accent1 5" xfId="1727"/>
    <cellStyle name="Accent1 5 2" xfId="1728"/>
    <cellStyle name="Accent1 6" xfId="1729"/>
    <cellStyle name="Accent1 6 2" xfId="1730"/>
    <cellStyle name="Accent1 7" xfId="1731"/>
    <cellStyle name="Accent1 8" xfId="1732"/>
    <cellStyle name="Accent1 9" xfId="1733"/>
    <cellStyle name="Accent1 9 2" xfId="1734"/>
    <cellStyle name="Accent1 9 2 2" xfId="1735"/>
    <cellStyle name="Accent1 9 3" xfId="1736"/>
    <cellStyle name="Accent1 9 4" xfId="1737"/>
    <cellStyle name="Accent1 9 5" xfId="1738"/>
    <cellStyle name="Accent2 10" xfId="1739"/>
    <cellStyle name="Accent2 10 2" xfId="1740"/>
    <cellStyle name="Accent2 10 3" xfId="1741"/>
    <cellStyle name="Accent2 11" xfId="1742"/>
    <cellStyle name="Accent2 11 2" xfId="1743"/>
    <cellStyle name="Accent2 11 3" xfId="1744"/>
    <cellStyle name="Accent2 12" xfId="1745"/>
    <cellStyle name="Accent2 12 2" xfId="1746"/>
    <cellStyle name="Accent2 12 3" xfId="1747"/>
    <cellStyle name="Accent2 13" xfId="1748"/>
    <cellStyle name="Accent2 13 2" xfId="1749"/>
    <cellStyle name="Accent2 13 3" xfId="1750"/>
    <cellStyle name="Accent2 14" xfId="1751"/>
    <cellStyle name="Accent2 14 2" xfId="1752"/>
    <cellStyle name="Accent2 14 3" xfId="1753"/>
    <cellStyle name="Accent2 15" xfId="1754"/>
    <cellStyle name="Accent2 15 2" xfId="1755"/>
    <cellStyle name="Accent2 15 3" xfId="1756"/>
    <cellStyle name="Accent2 16" xfId="1757"/>
    <cellStyle name="Accent2 17" xfId="1758"/>
    <cellStyle name="Accent2 18" xfId="1759"/>
    <cellStyle name="Accent2 19" xfId="1760"/>
    <cellStyle name="Accent2 2" xfId="1761"/>
    <cellStyle name="Accent2 2 10" xfId="1762"/>
    <cellStyle name="Accent2 2 11" xfId="1763"/>
    <cellStyle name="Accent2 2 12" xfId="1764"/>
    <cellStyle name="Accent2 2 13" xfId="1765"/>
    <cellStyle name="Accent2 2 14" xfId="1766"/>
    <cellStyle name="Accent2 2 15" xfId="1767"/>
    <cellStyle name="Accent2 2 2" xfId="1768"/>
    <cellStyle name="Accent2 2 3" xfId="1769"/>
    <cellStyle name="Accent2 2 4" xfId="1770"/>
    <cellStyle name="Accent2 2 5" xfId="1771"/>
    <cellStyle name="Accent2 2 6" xfId="1772"/>
    <cellStyle name="Accent2 2 7" xfId="1773"/>
    <cellStyle name="Accent2 2 8" xfId="1774"/>
    <cellStyle name="Accent2 2 9" xfId="1775"/>
    <cellStyle name="Accent2 20" xfId="4336"/>
    <cellStyle name="Accent2 3" xfId="1776"/>
    <cellStyle name="Accent2 3 2" xfId="1777"/>
    <cellStyle name="Accent2 3 3" xfId="1778"/>
    <cellStyle name="Accent2 3 4" xfId="1779"/>
    <cellStyle name="Accent2 3 5" xfId="1780"/>
    <cellStyle name="Accent2 3 5 2" xfId="1781"/>
    <cellStyle name="Accent2 3 6" xfId="1782"/>
    <cellStyle name="Accent2 3 7" xfId="1783"/>
    <cellStyle name="Accent2 3 8" xfId="1784"/>
    <cellStyle name="Accent2 3 9" xfId="1785"/>
    <cellStyle name="Accent2 4" xfId="1786"/>
    <cellStyle name="Accent2 4 2" xfId="1787"/>
    <cellStyle name="Accent2 5" xfId="1788"/>
    <cellStyle name="Accent2 5 2" xfId="1789"/>
    <cellStyle name="Accent2 6" xfId="1790"/>
    <cellStyle name="Accent2 6 2" xfId="1791"/>
    <cellStyle name="Accent2 7" xfId="1792"/>
    <cellStyle name="Accent2 8" xfId="1793"/>
    <cellStyle name="Accent2 9" xfId="1794"/>
    <cellStyle name="Accent2 9 2" xfId="1795"/>
    <cellStyle name="Accent2 9 2 2" xfId="1796"/>
    <cellStyle name="Accent2 9 3" xfId="1797"/>
    <cellStyle name="Accent2 9 4" xfId="1798"/>
    <cellStyle name="Accent2 9 5" xfId="1799"/>
    <cellStyle name="Accent3 10" xfId="1800"/>
    <cellStyle name="Accent3 10 2" xfId="1801"/>
    <cellStyle name="Accent3 10 3" xfId="1802"/>
    <cellStyle name="Accent3 11" xfId="1803"/>
    <cellStyle name="Accent3 11 2" xfId="1804"/>
    <cellStyle name="Accent3 11 3" xfId="1805"/>
    <cellStyle name="Accent3 12" xfId="1806"/>
    <cellStyle name="Accent3 12 2" xfId="1807"/>
    <cellStyle name="Accent3 12 3" xfId="1808"/>
    <cellStyle name="Accent3 13" xfId="1809"/>
    <cellStyle name="Accent3 13 2" xfId="1810"/>
    <cellStyle name="Accent3 13 3" xfId="1811"/>
    <cellStyle name="Accent3 14" xfId="1812"/>
    <cellStyle name="Accent3 14 2" xfId="1813"/>
    <cellStyle name="Accent3 14 3" xfId="1814"/>
    <cellStyle name="Accent3 15" xfId="1815"/>
    <cellStyle name="Accent3 15 2" xfId="1816"/>
    <cellStyle name="Accent3 15 3" xfId="1817"/>
    <cellStyle name="Accent3 16" xfId="1818"/>
    <cellStyle name="Accent3 17" xfId="1819"/>
    <cellStyle name="Accent3 18" xfId="1820"/>
    <cellStyle name="Accent3 19" xfId="1821"/>
    <cellStyle name="Accent3 2" xfId="1822"/>
    <cellStyle name="Accent3 2 10" xfId="1823"/>
    <cellStyle name="Accent3 2 11" xfId="1824"/>
    <cellStyle name="Accent3 2 12" xfId="1825"/>
    <cellStyle name="Accent3 2 13" xfId="1826"/>
    <cellStyle name="Accent3 2 14" xfId="1827"/>
    <cellStyle name="Accent3 2 15" xfId="1828"/>
    <cellStyle name="Accent3 2 2" xfId="1829"/>
    <cellStyle name="Accent3 2 3" xfId="1830"/>
    <cellStyle name="Accent3 2 4" xfId="1831"/>
    <cellStyle name="Accent3 2 5" xfId="1832"/>
    <cellStyle name="Accent3 2 6" xfId="1833"/>
    <cellStyle name="Accent3 2 7" xfId="1834"/>
    <cellStyle name="Accent3 2 8" xfId="1835"/>
    <cellStyle name="Accent3 2 9" xfId="1836"/>
    <cellStyle name="Accent3 20" xfId="4337"/>
    <cellStyle name="Accent3 3" xfId="1837"/>
    <cellStyle name="Accent3 3 2" xfId="1838"/>
    <cellStyle name="Accent3 3 3" xfId="1839"/>
    <cellStyle name="Accent3 3 4" xfId="1840"/>
    <cellStyle name="Accent3 3 5" xfId="1841"/>
    <cellStyle name="Accent3 3 5 2" xfId="1842"/>
    <cellStyle name="Accent3 3 6" xfId="1843"/>
    <cellStyle name="Accent3 3 7" xfId="1844"/>
    <cellStyle name="Accent3 3 8" xfId="1845"/>
    <cellStyle name="Accent3 3 9" xfId="1846"/>
    <cellStyle name="Accent3 4" xfId="1847"/>
    <cellStyle name="Accent3 4 2" xfId="1848"/>
    <cellStyle name="Accent3 5" xfId="1849"/>
    <cellStyle name="Accent3 5 2" xfId="1850"/>
    <cellStyle name="Accent3 6" xfId="1851"/>
    <cellStyle name="Accent3 6 2" xfId="1852"/>
    <cellStyle name="Accent3 7" xfId="1853"/>
    <cellStyle name="Accent3 8" xfId="1854"/>
    <cellStyle name="Accent3 9" xfId="1855"/>
    <cellStyle name="Accent3 9 2" xfId="1856"/>
    <cellStyle name="Accent3 9 2 2" xfId="1857"/>
    <cellStyle name="Accent3 9 3" xfId="1858"/>
    <cellStyle name="Accent3 9 4" xfId="1859"/>
    <cellStyle name="Accent3 9 5" xfId="1860"/>
    <cellStyle name="Accent4 10" xfId="1861"/>
    <cellStyle name="Accent4 10 2" xfId="1862"/>
    <cellStyle name="Accent4 10 3" xfId="1863"/>
    <cellStyle name="Accent4 11" xfId="1864"/>
    <cellStyle name="Accent4 11 2" xfId="1865"/>
    <cellStyle name="Accent4 11 3" xfId="1866"/>
    <cellStyle name="Accent4 12" xfId="1867"/>
    <cellStyle name="Accent4 12 2" xfId="1868"/>
    <cellStyle name="Accent4 12 3" xfId="1869"/>
    <cellStyle name="Accent4 13" xfId="1870"/>
    <cellStyle name="Accent4 13 2" xfId="1871"/>
    <cellStyle name="Accent4 13 3" xfId="1872"/>
    <cellStyle name="Accent4 14" xfId="1873"/>
    <cellStyle name="Accent4 14 2" xfId="1874"/>
    <cellStyle name="Accent4 14 3" xfId="1875"/>
    <cellStyle name="Accent4 15" xfId="1876"/>
    <cellStyle name="Accent4 15 2" xfId="1877"/>
    <cellStyle name="Accent4 15 3" xfId="1878"/>
    <cellStyle name="Accent4 16" xfId="1879"/>
    <cellStyle name="Accent4 17" xfId="1880"/>
    <cellStyle name="Accent4 18" xfId="1881"/>
    <cellStyle name="Accent4 19" xfId="1882"/>
    <cellStyle name="Accent4 2" xfId="1883"/>
    <cellStyle name="Accent4 2 10" xfId="1884"/>
    <cellStyle name="Accent4 2 11" xfId="1885"/>
    <cellStyle name="Accent4 2 12" xfId="1886"/>
    <cellStyle name="Accent4 2 13" xfId="1887"/>
    <cellStyle name="Accent4 2 14" xfId="1888"/>
    <cellStyle name="Accent4 2 15" xfId="1889"/>
    <cellStyle name="Accent4 2 2" xfId="1890"/>
    <cellStyle name="Accent4 2 3" xfId="1891"/>
    <cellStyle name="Accent4 2 4" xfId="1892"/>
    <cellStyle name="Accent4 2 5" xfId="1893"/>
    <cellStyle name="Accent4 2 6" xfId="1894"/>
    <cellStyle name="Accent4 2 7" xfId="1895"/>
    <cellStyle name="Accent4 2 8" xfId="1896"/>
    <cellStyle name="Accent4 2 9" xfId="1897"/>
    <cellStyle name="Accent4 20" xfId="4338"/>
    <cellStyle name="Accent4 3" xfId="1898"/>
    <cellStyle name="Accent4 3 2" xfId="1899"/>
    <cellStyle name="Accent4 3 3" xfId="1900"/>
    <cellStyle name="Accent4 3 4" xfId="1901"/>
    <cellStyle name="Accent4 3 5" xfId="1902"/>
    <cellStyle name="Accent4 3 5 2" xfId="1903"/>
    <cellStyle name="Accent4 3 6" xfId="1904"/>
    <cellStyle name="Accent4 3 7" xfId="1905"/>
    <cellStyle name="Accent4 3 8" xfId="1906"/>
    <cellStyle name="Accent4 3 9" xfId="1907"/>
    <cellStyle name="Accent4 4" xfId="1908"/>
    <cellStyle name="Accent4 4 2" xfId="1909"/>
    <cellStyle name="Accent4 5" xfId="1910"/>
    <cellStyle name="Accent4 5 2" xfId="1911"/>
    <cellStyle name="Accent4 6" xfId="1912"/>
    <cellStyle name="Accent4 6 2" xfId="1913"/>
    <cellStyle name="Accent4 7" xfId="1914"/>
    <cellStyle name="Accent4 8" xfId="1915"/>
    <cellStyle name="Accent4 9" xfId="1916"/>
    <cellStyle name="Accent4 9 2" xfId="1917"/>
    <cellStyle name="Accent4 9 2 2" xfId="1918"/>
    <cellStyle name="Accent4 9 3" xfId="1919"/>
    <cellStyle name="Accent4 9 4" xfId="1920"/>
    <cellStyle name="Accent4 9 5" xfId="1921"/>
    <cellStyle name="Accent5 10" xfId="1922"/>
    <cellStyle name="Accent5 10 2" xfId="1923"/>
    <cellStyle name="Accent5 10 3" xfId="1924"/>
    <cellStyle name="Accent5 11" xfId="1925"/>
    <cellStyle name="Accent5 11 2" xfId="1926"/>
    <cellStyle name="Accent5 11 3" xfId="1927"/>
    <cellStyle name="Accent5 12" xfId="1928"/>
    <cellStyle name="Accent5 12 2" xfId="1929"/>
    <cellStyle name="Accent5 12 3" xfId="1930"/>
    <cellStyle name="Accent5 13" xfId="1931"/>
    <cellStyle name="Accent5 13 2" xfId="1932"/>
    <cellStyle name="Accent5 13 3" xfId="1933"/>
    <cellStyle name="Accent5 14" xfId="1934"/>
    <cellStyle name="Accent5 14 2" xfId="1935"/>
    <cellStyle name="Accent5 14 3" xfId="1936"/>
    <cellStyle name="Accent5 15" xfId="1937"/>
    <cellStyle name="Accent5 15 2" xfId="1938"/>
    <cellStyle name="Accent5 15 3" xfId="1939"/>
    <cellStyle name="Accent5 16" xfId="1940"/>
    <cellStyle name="Accent5 17" xfId="1941"/>
    <cellStyle name="Accent5 18" xfId="1942"/>
    <cellStyle name="Accent5 19" xfId="1943"/>
    <cellStyle name="Accent5 2" xfId="1944"/>
    <cellStyle name="Accent5 2 10" xfId="1945"/>
    <cellStyle name="Accent5 2 11" xfId="1946"/>
    <cellStyle name="Accent5 2 12" xfId="1947"/>
    <cellStyle name="Accent5 2 13" xfId="1948"/>
    <cellStyle name="Accent5 2 14" xfId="1949"/>
    <cellStyle name="Accent5 2 15" xfId="1950"/>
    <cellStyle name="Accent5 2 2" xfId="1951"/>
    <cellStyle name="Accent5 2 3" xfId="1952"/>
    <cellStyle name="Accent5 2 4" xfId="1953"/>
    <cellStyle name="Accent5 2 5" xfId="1954"/>
    <cellStyle name="Accent5 2 6" xfId="1955"/>
    <cellStyle name="Accent5 2 7" xfId="1956"/>
    <cellStyle name="Accent5 2 8" xfId="1957"/>
    <cellStyle name="Accent5 2 9" xfId="1958"/>
    <cellStyle name="Accent5 20" xfId="4339"/>
    <cellStyle name="Accent5 3" xfId="1959"/>
    <cellStyle name="Accent5 3 2" xfId="1960"/>
    <cellStyle name="Accent5 3 3" xfId="1961"/>
    <cellStyle name="Accent5 3 4" xfId="1962"/>
    <cellStyle name="Accent5 3 5" xfId="1963"/>
    <cellStyle name="Accent5 3 6" xfId="1964"/>
    <cellStyle name="Accent5 3 7" xfId="1965"/>
    <cellStyle name="Accent5 3 8" xfId="1966"/>
    <cellStyle name="Accent5 4" xfId="1967"/>
    <cellStyle name="Accent5 4 2" xfId="1968"/>
    <cellStyle name="Accent5 5" xfId="1969"/>
    <cellStyle name="Accent5 5 2" xfId="1970"/>
    <cellStyle name="Accent5 6" xfId="1971"/>
    <cellStyle name="Accent5 6 2" xfId="1972"/>
    <cellStyle name="Accent5 7" xfId="1973"/>
    <cellStyle name="Accent5 8" xfId="1974"/>
    <cellStyle name="Accent5 9" xfId="1975"/>
    <cellStyle name="Accent5 9 2" xfId="1976"/>
    <cellStyle name="Accent5 9 3" xfId="1977"/>
    <cellStyle name="Accent5 9 4" xfId="1978"/>
    <cellStyle name="Accent6 10" xfId="1979"/>
    <cellStyle name="Accent6 10 2" xfId="1980"/>
    <cellStyle name="Accent6 10 3" xfId="1981"/>
    <cellStyle name="Accent6 11" xfId="1982"/>
    <cellStyle name="Accent6 11 2" xfId="1983"/>
    <cellStyle name="Accent6 11 3" xfId="1984"/>
    <cellStyle name="Accent6 12" xfId="1985"/>
    <cellStyle name="Accent6 12 2" xfId="1986"/>
    <cellStyle name="Accent6 12 3" xfId="1987"/>
    <cellStyle name="Accent6 13" xfId="1988"/>
    <cellStyle name="Accent6 13 2" xfId="1989"/>
    <cellStyle name="Accent6 13 3" xfId="1990"/>
    <cellStyle name="Accent6 14" xfId="1991"/>
    <cellStyle name="Accent6 14 2" xfId="1992"/>
    <cellStyle name="Accent6 14 3" xfId="1993"/>
    <cellStyle name="Accent6 15" xfId="1994"/>
    <cellStyle name="Accent6 15 2" xfId="1995"/>
    <cellStyle name="Accent6 15 3" xfId="1996"/>
    <cellStyle name="Accent6 16" xfId="1997"/>
    <cellStyle name="Accent6 17" xfId="1998"/>
    <cellStyle name="Accent6 18" xfId="1999"/>
    <cellStyle name="Accent6 19" xfId="2000"/>
    <cellStyle name="Accent6 2" xfId="2001"/>
    <cellStyle name="Accent6 2 10" xfId="2002"/>
    <cellStyle name="Accent6 2 11" xfId="2003"/>
    <cellStyle name="Accent6 2 12" xfId="2004"/>
    <cellStyle name="Accent6 2 13" xfId="2005"/>
    <cellStyle name="Accent6 2 14" xfId="2006"/>
    <cellStyle name="Accent6 2 15" xfId="2007"/>
    <cellStyle name="Accent6 2 2" xfId="2008"/>
    <cellStyle name="Accent6 2 3" xfId="2009"/>
    <cellStyle name="Accent6 2 4" xfId="2010"/>
    <cellStyle name="Accent6 2 5" xfId="2011"/>
    <cellStyle name="Accent6 2 6" xfId="2012"/>
    <cellStyle name="Accent6 2 7" xfId="2013"/>
    <cellStyle name="Accent6 2 8" xfId="2014"/>
    <cellStyle name="Accent6 2 9" xfId="2015"/>
    <cellStyle name="Accent6 20" xfId="4340"/>
    <cellStyle name="Accent6 3" xfId="2016"/>
    <cellStyle name="Accent6 3 2" xfId="2017"/>
    <cellStyle name="Accent6 3 3" xfId="2018"/>
    <cellStyle name="Accent6 3 4" xfId="2019"/>
    <cellStyle name="Accent6 3 5" xfId="2020"/>
    <cellStyle name="Accent6 3 5 2" xfId="2021"/>
    <cellStyle name="Accent6 3 6" xfId="2022"/>
    <cellStyle name="Accent6 3 7" xfId="2023"/>
    <cellStyle name="Accent6 3 8" xfId="2024"/>
    <cellStyle name="Accent6 3 9" xfId="2025"/>
    <cellStyle name="Accent6 4" xfId="2026"/>
    <cellStyle name="Accent6 4 2" xfId="2027"/>
    <cellStyle name="Accent6 5" xfId="2028"/>
    <cellStyle name="Accent6 5 2" xfId="2029"/>
    <cellStyle name="Accent6 6" xfId="2030"/>
    <cellStyle name="Accent6 6 2" xfId="2031"/>
    <cellStyle name="Accent6 7" xfId="2032"/>
    <cellStyle name="Accent6 8" xfId="2033"/>
    <cellStyle name="Accent6 9" xfId="2034"/>
    <cellStyle name="Accent6 9 2" xfId="2035"/>
    <cellStyle name="Accent6 9 2 2" xfId="2036"/>
    <cellStyle name="Accent6 9 3" xfId="2037"/>
    <cellStyle name="Accent6 9 4" xfId="2038"/>
    <cellStyle name="Accent6 9 5" xfId="2039"/>
    <cellStyle name="Accounting" xfId="2040"/>
    <cellStyle name="Actual Date" xfId="2041"/>
    <cellStyle name="amount" xfId="2042"/>
    <cellStyle name="amount 10" xfId="2043"/>
    <cellStyle name="amount 11" xfId="2044"/>
    <cellStyle name="amount 12" xfId="2045"/>
    <cellStyle name="amount 2" xfId="2046"/>
    <cellStyle name="amount 3" xfId="2047"/>
    <cellStyle name="amount 4" xfId="2048"/>
    <cellStyle name="amount 5" xfId="2049"/>
    <cellStyle name="amount 6" xfId="2050"/>
    <cellStyle name="amount 7" xfId="2051"/>
    <cellStyle name="amount 8" xfId="2052"/>
    <cellStyle name="amount 9" xfId="2053"/>
    <cellStyle name="args.style" xfId="2054"/>
    <cellStyle name="args.style 2" xfId="2055"/>
    <cellStyle name="Arial 10" xfId="2056"/>
    <cellStyle name="Arial 12" xfId="2057"/>
    <cellStyle name="AxeHor" xfId="2058"/>
    <cellStyle name="azert - Style1" xfId="2059"/>
    <cellStyle name="Bad 10" xfId="2060"/>
    <cellStyle name="Bad 10 2" xfId="2061"/>
    <cellStyle name="Bad 10 3" xfId="2062"/>
    <cellStyle name="Bad 11" xfId="2063"/>
    <cellStyle name="Bad 11 2" xfId="2064"/>
    <cellStyle name="Bad 11 3" xfId="2065"/>
    <cellStyle name="Bad 12" xfId="2066"/>
    <cellStyle name="Bad 12 2" xfId="2067"/>
    <cellStyle name="Bad 12 3" xfId="2068"/>
    <cellStyle name="Bad 13" xfId="2069"/>
    <cellStyle name="Bad 13 2" xfId="2070"/>
    <cellStyle name="Bad 13 3" xfId="2071"/>
    <cellStyle name="Bad 14" xfId="2072"/>
    <cellStyle name="Bad 14 2" xfId="2073"/>
    <cellStyle name="Bad 14 3" xfId="2074"/>
    <cellStyle name="Bad 15" xfId="2075"/>
    <cellStyle name="Bad 15 2" xfId="2076"/>
    <cellStyle name="Bad 15 3" xfId="2077"/>
    <cellStyle name="Bad 16" xfId="2078"/>
    <cellStyle name="Bad 17" xfId="2079"/>
    <cellStyle name="Bad 18" xfId="2080"/>
    <cellStyle name="Bad 19" xfId="2081"/>
    <cellStyle name="Bad 2" xfId="2082"/>
    <cellStyle name="Bad 2 10" xfId="2083"/>
    <cellStyle name="Bad 2 11" xfId="2084"/>
    <cellStyle name="Bad 2 12" xfId="2085"/>
    <cellStyle name="Bad 2 13" xfId="2086"/>
    <cellStyle name="Bad 2 14" xfId="2087"/>
    <cellStyle name="Bad 2 15" xfId="2088"/>
    <cellStyle name="Bad 2 2" xfId="2089"/>
    <cellStyle name="Bad 2 3" xfId="2090"/>
    <cellStyle name="Bad 2 4" xfId="2091"/>
    <cellStyle name="Bad 2 5" xfId="2092"/>
    <cellStyle name="Bad 2 6" xfId="2093"/>
    <cellStyle name="Bad 2 7" xfId="2094"/>
    <cellStyle name="Bad 2 8" xfId="2095"/>
    <cellStyle name="Bad 2 9" xfId="2096"/>
    <cellStyle name="Bad 20" xfId="4341"/>
    <cellStyle name="Bad 3" xfId="2097"/>
    <cellStyle name="Bad 3 2" xfId="2098"/>
    <cellStyle name="Bad 3 3" xfId="2099"/>
    <cellStyle name="Bad 3 4" xfId="2100"/>
    <cellStyle name="Bad 3 5" xfId="2101"/>
    <cellStyle name="Bad 3 5 2" xfId="2102"/>
    <cellStyle name="Bad 3 6" xfId="2103"/>
    <cellStyle name="Bad 3 7" xfId="2104"/>
    <cellStyle name="Bad 3 8" xfId="2105"/>
    <cellStyle name="Bad 3 9" xfId="2106"/>
    <cellStyle name="Bad 4" xfId="2107"/>
    <cellStyle name="Bad 4 2" xfId="2108"/>
    <cellStyle name="Bad 5" xfId="2109"/>
    <cellStyle name="Bad 5 2" xfId="2110"/>
    <cellStyle name="Bad 6" xfId="2111"/>
    <cellStyle name="Bad 6 2" xfId="2112"/>
    <cellStyle name="Bad 7" xfId="2113"/>
    <cellStyle name="Bad 8" xfId="2114"/>
    <cellStyle name="Bad 9" xfId="2115"/>
    <cellStyle name="Bad 9 2" xfId="2116"/>
    <cellStyle name="Bad 9 2 2" xfId="2117"/>
    <cellStyle name="Bad 9 3" xfId="2118"/>
    <cellStyle name="Bad 9 4" xfId="2119"/>
    <cellStyle name="Bad 9 5" xfId="2120"/>
    <cellStyle name="bartitre" xfId="2121"/>
    <cellStyle name="bartotal" xfId="2122"/>
    <cellStyle name="Big head" xfId="2123"/>
    <cellStyle name="blp_column_header" xfId="1"/>
    <cellStyle name="blue shading" xfId="2124"/>
    <cellStyle name="Blue Title" xfId="2125"/>
    <cellStyle name="Bob" xfId="2126"/>
    <cellStyle name="Bob 1" xfId="2127"/>
    <cellStyle name="Bob 3" xfId="2128"/>
    <cellStyle name="bob_boite - choix table" xfId="2129"/>
    <cellStyle name="Bob2" xfId="2130"/>
    <cellStyle name="Body text" xfId="2131"/>
    <cellStyle name="Body text 10" xfId="2132"/>
    <cellStyle name="Body text 11" xfId="2133"/>
    <cellStyle name="Body text 12" xfId="2134"/>
    <cellStyle name="Body text 2" xfId="2135"/>
    <cellStyle name="Body text 3" xfId="2136"/>
    <cellStyle name="Body text 4" xfId="2137"/>
    <cellStyle name="Body text 5" xfId="2138"/>
    <cellStyle name="Body text 6" xfId="2139"/>
    <cellStyle name="Body text 7" xfId="2140"/>
    <cellStyle name="Body text 8" xfId="2141"/>
    <cellStyle name="Body text 9" xfId="2142"/>
    <cellStyle name="Border" xfId="2143"/>
    <cellStyle name="Border Heavy" xfId="2144"/>
    <cellStyle name="Border Thin" xfId="2145"/>
    <cellStyle name="British Pound" xfId="2146"/>
    <cellStyle name="Calc Currency (0)" xfId="2147"/>
    <cellStyle name="Calc Currency (0) 2" xfId="2148"/>
    <cellStyle name="Calc Currency (2)" xfId="2149"/>
    <cellStyle name="Calc Currency (2) 2" xfId="2150"/>
    <cellStyle name="Calc Percent (0)" xfId="2151"/>
    <cellStyle name="Calc Percent (0) 2" xfId="2152"/>
    <cellStyle name="Calc Percent (1)" xfId="2153"/>
    <cellStyle name="Calc Percent (1) 2" xfId="2154"/>
    <cellStyle name="Calc Percent (2)" xfId="2155"/>
    <cellStyle name="Calc Percent (2) 2" xfId="2156"/>
    <cellStyle name="Calc Units (0)" xfId="2157"/>
    <cellStyle name="Calc Units (0) 2" xfId="2158"/>
    <cellStyle name="Calc Units (1)" xfId="2159"/>
    <cellStyle name="Calc Units (1) 2" xfId="2160"/>
    <cellStyle name="Calc Units (2)" xfId="2161"/>
    <cellStyle name="Calc Units (2) 2" xfId="2162"/>
    <cellStyle name="Calcul" xfId="2163"/>
    <cellStyle name="Calculation 10" xfId="2164"/>
    <cellStyle name="Calculation 10 2" xfId="2165"/>
    <cellStyle name="Calculation 10 3" xfId="2166"/>
    <cellStyle name="Calculation 11" xfId="2167"/>
    <cellStyle name="Calculation 11 2" xfId="2168"/>
    <cellStyle name="Calculation 11 3" xfId="2169"/>
    <cellStyle name="Calculation 12" xfId="2170"/>
    <cellStyle name="Calculation 12 2" xfId="2171"/>
    <cellStyle name="Calculation 12 3" xfId="2172"/>
    <cellStyle name="Calculation 13" xfId="2173"/>
    <cellStyle name="Calculation 13 2" xfId="2174"/>
    <cellStyle name="Calculation 13 3" xfId="2175"/>
    <cellStyle name="Calculation 14" xfId="2176"/>
    <cellStyle name="Calculation 14 2" xfId="2177"/>
    <cellStyle name="Calculation 14 3" xfId="2178"/>
    <cellStyle name="Calculation 15" xfId="2179"/>
    <cellStyle name="Calculation 15 2" xfId="2180"/>
    <cellStyle name="Calculation 15 3" xfId="2181"/>
    <cellStyle name="Calculation 16" xfId="2182"/>
    <cellStyle name="Calculation 17" xfId="2183"/>
    <cellStyle name="Calculation 18" xfId="2184"/>
    <cellStyle name="Calculation 19" xfId="2185"/>
    <cellStyle name="Calculation 2" xfId="2186"/>
    <cellStyle name="Calculation 2 10" xfId="2187"/>
    <cellStyle name="Calculation 2 11" xfId="2188"/>
    <cellStyle name="Calculation 2 12" xfId="2189"/>
    <cellStyle name="Calculation 2 13" xfId="2190"/>
    <cellStyle name="Calculation 2 14" xfId="2191"/>
    <cellStyle name="Calculation 2 15" xfId="2192"/>
    <cellStyle name="Calculation 2 2" xfId="2193"/>
    <cellStyle name="Calculation 2 3" xfId="2194"/>
    <cellStyle name="Calculation 2 4" xfId="2195"/>
    <cellStyle name="Calculation 2 5" xfId="2196"/>
    <cellStyle name="Calculation 2 6" xfId="2197"/>
    <cellStyle name="Calculation 2 7" xfId="2198"/>
    <cellStyle name="Calculation 2 8" xfId="2199"/>
    <cellStyle name="Calculation 2 9" xfId="2200"/>
    <cellStyle name="Calculation 20" xfId="4342"/>
    <cellStyle name="Calculation 3" xfId="2201"/>
    <cellStyle name="Calculation 3 2" xfId="2202"/>
    <cellStyle name="Calculation 3 3" xfId="2203"/>
    <cellStyle name="Calculation 3 4" xfId="2204"/>
    <cellStyle name="Calculation 3 5" xfId="2205"/>
    <cellStyle name="Calculation 3 5 2" xfId="2206"/>
    <cellStyle name="Calculation 3 6" xfId="2207"/>
    <cellStyle name="Calculation 3 7" xfId="2208"/>
    <cellStyle name="Calculation 3 8" xfId="2209"/>
    <cellStyle name="Calculation 3 9" xfId="2210"/>
    <cellStyle name="Calculation 4" xfId="2211"/>
    <cellStyle name="Calculation 4 2" xfId="2212"/>
    <cellStyle name="Calculation 5" xfId="2213"/>
    <cellStyle name="Calculation 5 2" xfId="2214"/>
    <cellStyle name="Calculation 6" xfId="2215"/>
    <cellStyle name="Calculation 6 2" xfId="2216"/>
    <cellStyle name="Calculation 7" xfId="2217"/>
    <cellStyle name="Calculation 8" xfId="2218"/>
    <cellStyle name="Calculation 9" xfId="2219"/>
    <cellStyle name="Calculation 9 2" xfId="2220"/>
    <cellStyle name="Calculation 9 2 2" xfId="2221"/>
    <cellStyle name="Calculation 9 3" xfId="2222"/>
    <cellStyle name="Calculation 9 4" xfId="2223"/>
    <cellStyle name="Calculation 9 5" xfId="2224"/>
    <cellStyle name="can" xfId="2225"/>
    <cellStyle name="Case" xfId="2226"/>
    <cellStyle name="category" xfId="2227"/>
    <cellStyle name="Centered Heading" xfId="2228"/>
    <cellStyle name="Centered Heading Notes" xfId="2229"/>
    <cellStyle name="Centré" xfId="2230"/>
    <cellStyle name="Change" xfId="2231"/>
    <cellStyle name="ChartingText" xfId="2232"/>
    <cellStyle name="Check Cell 10" xfId="2233"/>
    <cellStyle name="Check Cell 10 2" xfId="2234"/>
    <cellStyle name="Check Cell 10 3" xfId="2235"/>
    <cellStyle name="Check Cell 11" xfId="2236"/>
    <cellStyle name="Check Cell 11 2" xfId="2237"/>
    <cellStyle name="Check Cell 11 3" xfId="2238"/>
    <cellStyle name="Check Cell 12" xfId="2239"/>
    <cellStyle name="Check Cell 12 2" xfId="2240"/>
    <cellStyle name="Check Cell 12 3" xfId="2241"/>
    <cellStyle name="Check Cell 13" xfId="2242"/>
    <cellStyle name="Check Cell 13 2" xfId="2243"/>
    <cellStyle name="Check Cell 13 3" xfId="2244"/>
    <cellStyle name="Check Cell 14" xfId="2245"/>
    <cellStyle name="Check Cell 14 2" xfId="2246"/>
    <cellStyle name="Check Cell 14 3" xfId="2247"/>
    <cellStyle name="Check Cell 15" xfId="2248"/>
    <cellStyle name="Check Cell 15 2" xfId="2249"/>
    <cellStyle name="Check Cell 15 3" xfId="2250"/>
    <cellStyle name="Check Cell 16" xfId="2251"/>
    <cellStyle name="Check Cell 17" xfId="2252"/>
    <cellStyle name="Check Cell 18" xfId="2253"/>
    <cellStyle name="Check Cell 19" xfId="2254"/>
    <cellStyle name="Check Cell 2" xfId="2255"/>
    <cellStyle name="Check Cell 2 10" xfId="2256"/>
    <cellStyle name="Check Cell 2 11" xfId="2257"/>
    <cellStyle name="Check Cell 2 12" xfId="2258"/>
    <cellStyle name="Check Cell 2 13" xfId="2259"/>
    <cellStyle name="Check Cell 2 14" xfId="2260"/>
    <cellStyle name="Check Cell 2 15" xfId="2261"/>
    <cellStyle name="Check Cell 2 2" xfId="2262"/>
    <cellStyle name="Check Cell 2 3" xfId="2263"/>
    <cellStyle name="Check Cell 2 4" xfId="2264"/>
    <cellStyle name="Check Cell 2 5" xfId="2265"/>
    <cellStyle name="Check Cell 2 6" xfId="2266"/>
    <cellStyle name="Check Cell 2 7" xfId="2267"/>
    <cellStyle name="Check Cell 2 8" xfId="2268"/>
    <cellStyle name="Check Cell 2 9" xfId="2269"/>
    <cellStyle name="Check Cell 20" xfId="4343"/>
    <cellStyle name="Check Cell 3" xfId="2270"/>
    <cellStyle name="Check Cell 3 2" xfId="2271"/>
    <cellStyle name="Check Cell 3 3" xfId="2272"/>
    <cellStyle name="Check Cell 3 4" xfId="2273"/>
    <cellStyle name="Check Cell 3 5" xfId="2274"/>
    <cellStyle name="Check Cell 3 6" xfId="2275"/>
    <cellStyle name="Check Cell 3 7" xfId="2276"/>
    <cellStyle name="Check Cell 3 8" xfId="2277"/>
    <cellStyle name="Check Cell 4" xfId="2278"/>
    <cellStyle name="Check Cell 4 2" xfId="2279"/>
    <cellStyle name="Check Cell 5" xfId="2280"/>
    <cellStyle name="Check Cell 5 2" xfId="2281"/>
    <cellStyle name="Check Cell 6" xfId="2282"/>
    <cellStyle name="Check Cell 6 2" xfId="2283"/>
    <cellStyle name="Check Cell 7" xfId="2284"/>
    <cellStyle name="Check Cell 8" xfId="2285"/>
    <cellStyle name="Check Cell 9" xfId="2286"/>
    <cellStyle name="Check Cell 9 2" xfId="2287"/>
    <cellStyle name="Check Cell 9 3" xfId="2288"/>
    <cellStyle name="Check Cell 9 4" xfId="2289"/>
    <cellStyle name="ColLevel_0" xfId="2290"/>
    <cellStyle name="ColumnAttributeAbovePrompt" xfId="2291"/>
    <cellStyle name="ColumnAttributePrompt" xfId="2292"/>
    <cellStyle name="ColumnAttributeValue" xfId="2293"/>
    <cellStyle name="ColumnHeaderNormal" xfId="2294"/>
    <cellStyle name="ColumnHeadingPrompt" xfId="2295"/>
    <cellStyle name="ColumnHeadingValue" xfId="2296"/>
    <cellStyle name="Comma" xfId="4386" builtinId="3"/>
    <cellStyle name="Comma  - Style1" xfId="2297"/>
    <cellStyle name="Comma  - Style2" xfId="2298"/>
    <cellStyle name="Comma  - Style3" xfId="2299"/>
    <cellStyle name="Comma  - Style4" xfId="2300"/>
    <cellStyle name="Comma  - Style5" xfId="2301"/>
    <cellStyle name="Comma  - Style6" xfId="2302"/>
    <cellStyle name="Comma  - Style7" xfId="2303"/>
    <cellStyle name="Comma  - Style8" xfId="2304"/>
    <cellStyle name="Comma [00]" xfId="2305"/>
    <cellStyle name="Comma [00] 2" xfId="2306"/>
    <cellStyle name="Comma [1]" xfId="2307"/>
    <cellStyle name="Comma 0" xfId="2308"/>
    <cellStyle name="Comma 0*" xfId="2309"/>
    <cellStyle name="Comma 0_- BP CONSO 2002-2012" xfId="2310"/>
    <cellStyle name="Comma 10" xfId="2311"/>
    <cellStyle name="Comma 11" xfId="2312"/>
    <cellStyle name="Comma 12" xfId="2313"/>
    <cellStyle name="Comma 13" xfId="2314"/>
    <cellStyle name="Comma 14" xfId="2315"/>
    <cellStyle name="Comma 15" xfId="2316"/>
    <cellStyle name="Comma 16" xfId="2317"/>
    <cellStyle name="Comma 17" xfId="2318"/>
    <cellStyle name="Comma 18" xfId="2319"/>
    <cellStyle name="Comma 19" xfId="2320"/>
    <cellStyle name="Comma 2" xfId="2"/>
    <cellStyle name="Comma 2 10" xfId="2321"/>
    <cellStyle name="Comma 2 10 2" xfId="2322"/>
    <cellStyle name="Comma 2 11" xfId="2323"/>
    <cellStyle name="Comma 2 11 2" xfId="2324"/>
    <cellStyle name="Comma 2 12" xfId="2325"/>
    <cellStyle name="Comma 2 12 2" xfId="2326"/>
    <cellStyle name="Comma 2 13" xfId="2327"/>
    <cellStyle name="Comma 2 13 2" xfId="2328"/>
    <cellStyle name="Comma 2 14" xfId="2329"/>
    <cellStyle name="Comma 2 14 2" xfId="2330"/>
    <cellStyle name="Comma 2 15" xfId="2331"/>
    <cellStyle name="Comma 2 16" xfId="2332"/>
    <cellStyle name="Comma 2 17" xfId="10"/>
    <cellStyle name="Comma 2 2" xfId="2333"/>
    <cellStyle name="Comma 2 2 2" xfId="2334"/>
    <cellStyle name="Comma 2 2 2 2" xfId="2335"/>
    <cellStyle name="Comma 2 2 2 2 2" xfId="2336"/>
    <cellStyle name="Comma 2 2 2 3" xfId="2337"/>
    <cellStyle name="Comma 2 2 3" xfId="2338"/>
    <cellStyle name="Comma 2 2 4" xfId="2339"/>
    <cellStyle name="Comma 2 3" xfId="2340"/>
    <cellStyle name="Comma 2 3 2" xfId="2341"/>
    <cellStyle name="Comma 2 3 2 2" xfId="2342"/>
    <cellStyle name="Comma 2 3 3" xfId="2343"/>
    <cellStyle name="Comma 2 3 4" xfId="2344"/>
    <cellStyle name="Comma 2 3 5" xfId="2345"/>
    <cellStyle name="Comma 2 3 6" xfId="2346"/>
    <cellStyle name="Comma 2 3 7" xfId="2347"/>
    <cellStyle name="Comma 2 4" xfId="2348"/>
    <cellStyle name="Comma 2 4 2" xfId="2349"/>
    <cellStyle name="Comma 2 4 3" xfId="2350"/>
    <cellStyle name="Comma 2 5" xfId="2351"/>
    <cellStyle name="Comma 2 5 2" xfId="2352"/>
    <cellStyle name="Comma 2 5 2 2" xfId="2353"/>
    <cellStyle name="Comma 2 5 3" xfId="2354"/>
    <cellStyle name="Comma 2 5 4" xfId="2355"/>
    <cellStyle name="Comma 2 5 5" xfId="2356"/>
    <cellStyle name="Comma 2 6" xfId="2357"/>
    <cellStyle name="Comma 2 6 2" xfId="2358"/>
    <cellStyle name="Comma 2 7" xfId="2359"/>
    <cellStyle name="Comma 2 7 2" xfId="2360"/>
    <cellStyle name="Comma 2 8" xfId="2361"/>
    <cellStyle name="Comma 2 8 2" xfId="2362"/>
    <cellStyle name="Comma 2 9" xfId="2363"/>
    <cellStyle name="Comma 2 9 2" xfId="2364"/>
    <cellStyle name="Comma 2_Cashflow Q1 CY09" xfId="2365"/>
    <cellStyle name="Comma 20" xfId="2366"/>
    <cellStyle name="Comma 21" xfId="2367"/>
    <cellStyle name="Comma 22" xfId="2368"/>
    <cellStyle name="Comma 23" xfId="2369"/>
    <cellStyle name="Comma 24" xfId="2370"/>
    <cellStyle name="Comma 25" xfId="2371"/>
    <cellStyle name="Comma 26" xfId="2372"/>
    <cellStyle name="Comma 27" xfId="2373"/>
    <cellStyle name="Comma 28" xfId="2374"/>
    <cellStyle name="Comma 29" xfId="2375"/>
    <cellStyle name="Comma 3" xfId="2376"/>
    <cellStyle name="Comma 3 2" xfId="2377"/>
    <cellStyle name="Comma 3 2 2" xfId="2378"/>
    <cellStyle name="Comma 3 2 2 2" xfId="2379"/>
    <cellStyle name="Comma 3 2 2 3" xfId="2380"/>
    <cellStyle name="Comma 3 2 3" xfId="2381"/>
    <cellStyle name="Comma 3 2 4" xfId="2382"/>
    <cellStyle name="Comma 3 3" xfId="2383"/>
    <cellStyle name="Comma 3 4" xfId="2384"/>
    <cellStyle name="Comma 3 4 2" xfId="2385"/>
    <cellStyle name="Comma 3 4 3" xfId="2386"/>
    <cellStyle name="Comma 3 5" xfId="2387"/>
    <cellStyle name="Comma 30" xfId="2388"/>
    <cellStyle name="Comma 31" xfId="2389"/>
    <cellStyle name="Comma 32" xfId="2390"/>
    <cellStyle name="Comma 33" xfId="2391"/>
    <cellStyle name="Comma 34" xfId="2392"/>
    <cellStyle name="Comma 35" xfId="2393"/>
    <cellStyle name="Comma 36" xfId="2394"/>
    <cellStyle name="Comma 37" xfId="2395"/>
    <cellStyle name="Comma 38" xfId="2396"/>
    <cellStyle name="Comma 39" xfId="2397"/>
    <cellStyle name="Comma 4" xfId="2398"/>
    <cellStyle name="Comma 4 2" xfId="2399"/>
    <cellStyle name="Comma 4 2 2" xfId="2400"/>
    <cellStyle name="Comma 4 3" xfId="2401"/>
    <cellStyle name="Comma 40" xfId="2402"/>
    <cellStyle name="Comma 41" xfId="2403"/>
    <cellStyle name="Comma 42" xfId="2404"/>
    <cellStyle name="Comma 43" xfId="2405"/>
    <cellStyle name="Comma 44" xfId="4315"/>
    <cellStyle name="Comma 44 2" xfId="4360"/>
    <cellStyle name="Comma 45" xfId="6"/>
    <cellStyle name="Comma 5" xfId="2406"/>
    <cellStyle name="Comma 5 2" xfId="2407"/>
    <cellStyle name="Comma 5 2 2" xfId="2408"/>
    <cellStyle name="Comma 5 2 2 2" xfId="2409"/>
    <cellStyle name="Comma 5 2 2 3" xfId="2410"/>
    <cellStyle name="Comma 5 2 3" xfId="2411"/>
    <cellStyle name="Comma 5 2 4" xfId="2412"/>
    <cellStyle name="Comma 5 3" xfId="2413"/>
    <cellStyle name="Comma 6" xfId="2414"/>
    <cellStyle name="Comma 6 2" xfId="2415"/>
    <cellStyle name="Comma 6 3" xfId="2416"/>
    <cellStyle name="Comma 7" xfId="2417"/>
    <cellStyle name="Comma 8" xfId="2418"/>
    <cellStyle name="Comma 9" xfId="2419"/>
    <cellStyle name="comma zerodec" xfId="2420"/>
    <cellStyle name="Comma0" xfId="2421"/>
    <cellStyle name="Comma0 2" xfId="2422"/>
    <cellStyle name="Copied" xfId="2423"/>
    <cellStyle name="Copied 2" xfId="2424"/>
    <cellStyle name="Copy Decimal 0" xfId="2425"/>
    <cellStyle name="Copy Decimal 0 10" xfId="2426"/>
    <cellStyle name="Copy Decimal 0 11" xfId="2427"/>
    <cellStyle name="Copy Decimal 0 12" xfId="2428"/>
    <cellStyle name="Copy Decimal 0 2" xfId="2429"/>
    <cellStyle name="Copy Decimal 0 3" xfId="2430"/>
    <cellStyle name="Copy Decimal 0 4" xfId="2431"/>
    <cellStyle name="Copy Decimal 0 5" xfId="2432"/>
    <cellStyle name="Copy Decimal 0 6" xfId="2433"/>
    <cellStyle name="Copy Decimal 0 7" xfId="2434"/>
    <cellStyle name="Copy Decimal 0 8" xfId="2435"/>
    <cellStyle name="Copy Decimal 0 9" xfId="2436"/>
    <cellStyle name="Copy Decimal 0,00" xfId="2437"/>
    <cellStyle name="Copy Decimal 0,00 10" xfId="2438"/>
    <cellStyle name="Copy Decimal 0,00 11" xfId="2439"/>
    <cellStyle name="Copy Decimal 0,00 12" xfId="2440"/>
    <cellStyle name="Copy Decimal 0,00 2" xfId="2441"/>
    <cellStyle name="Copy Decimal 0,00 3" xfId="2442"/>
    <cellStyle name="Copy Decimal 0,00 4" xfId="2443"/>
    <cellStyle name="Copy Decimal 0,00 5" xfId="2444"/>
    <cellStyle name="Copy Decimal 0,00 6" xfId="2445"/>
    <cellStyle name="Copy Decimal 0,00 7" xfId="2446"/>
    <cellStyle name="Copy Decimal 0,00 8" xfId="2447"/>
    <cellStyle name="Copy Decimal 0,00 9" xfId="2448"/>
    <cellStyle name="Copy Decimal 0_Durchrechnung MEU" xfId="2449"/>
    <cellStyle name="Copy Percent 0" xfId="2450"/>
    <cellStyle name="Copy Percent 0 10" xfId="2451"/>
    <cellStyle name="Copy Percent 0 11" xfId="2452"/>
    <cellStyle name="Copy Percent 0 12" xfId="2453"/>
    <cellStyle name="Copy Percent 0 2" xfId="2454"/>
    <cellStyle name="Copy Percent 0 3" xfId="2455"/>
    <cellStyle name="Copy Percent 0 4" xfId="2456"/>
    <cellStyle name="Copy Percent 0 5" xfId="2457"/>
    <cellStyle name="Copy Percent 0 6" xfId="2458"/>
    <cellStyle name="Copy Percent 0 7" xfId="2459"/>
    <cellStyle name="Copy Percent 0 8" xfId="2460"/>
    <cellStyle name="Copy Percent 0 9" xfId="2461"/>
    <cellStyle name="Copy Percent 0,00" xfId="2462"/>
    <cellStyle name="Copy Percent 0,00 10" xfId="2463"/>
    <cellStyle name="Copy Percent 0,00 11" xfId="2464"/>
    <cellStyle name="Copy Percent 0,00 12" xfId="2465"/>
    <cellStyle name="Copy Percent 0,00 2" xfId="2466"/>
    <cellStyle name="Copy Percent 0,00 3" xfId="2467"/>
    <cellStyle name="Copy Percent 0,00 4" xfId="2468"/>
    <cellStyle name="Copy Percent 0,00 5" xfId="2469"/>
    <cellStyle name="Copy Percent 0,00 6" xfId="2470"/>
    <cellStyle name="Copy Percent 0,00 7" xfId="2471"/>
    <cellStyle name="Copy Percent 0,00 8" xfId="2472"/>
    <cellStyle name="Copy Percent 0,00 9" xfId="2473"/>
    <cellStyle name="Copy Percent 0_Form CC 1 2 4 June 05" xfId="2474"/>
    <cellStyle name="COST1" xfId="2475"/>
    <cellStyle name="Cur" xfId="2476"/>
    <cellStyle name="Currency [00]" xfId="2477"/>
    <cellStyle name="Currency [00] 2" xfId="2478"/>
    <cellStyle name="Currency [1]" xfId="2479"/>
    <cellStyle name="Currency [2]" xfId="2480"/>
    <cellStyle name="Currency 0" xfId="2481"/>
    <cellStyle name="Currency 10" xfId="2482"/>
    <cellStyle name="Currency 11" xfId="2483"/>
    <cellStyle name="Currency 12" xfId="2484"/>
    <cellStyle name="Currency 13" xfId="2485"/>
    <cellStyle name="Currency 14" xfId="2486"/>
    <cellStyle name="Currency 15" xfId="2487"/>
    <cellStyle name="Currency 16" xfId="2488"/>
    <cellStyle name="Currency 17" xfId="2489"/>
    <cellStyle name="Currency 18" xfId="2490"/>
    <cellStyle name="Currency 19" xfId="4314"/>
    <cellStyle name="Currency 19 2" xfId="4359"/>
    <cellStyle name="Currency 2" xfId="9"/>
    <cellStyle name="Currency 2 10" xfId="2491"/>
    <cellStyle name="Currency 2 11" xfId="2492"/>
    <cellStyle name="Currency 2 12" xfId="2493"/>
    <cellStyle name="Currency 2 13" xfId="2494"/>
    <cellStyle name="Currency 2 14" xfId="2495"/>
    <cellStyle name="Currency 2 15" xfId="2496"/>
    <cellStyle name="Currency 2 2" xfId="2497"/>
    <cellStyle name="Currency 2 3" xfId="2498"/>
    <cellStyle name="Currency 2 4" xfId="2499"/>
    <cellStyle name="Currency 2 5" xfId="2500"/>
    <cellStyle name="Currency 2 6" xfId="2501"/>
    <cellStyle name="Currency 2 7" xfId="2502"/>
    <cellStyle name="Currency 2 8" xfId="2503"/>
    <cellStyle name="Currency 2 9" xfId="2504"/>
    <cellStyle name="Currency 20" xfId="7"/>
    <cellStyle name="Currency 3" xfId="2505"/>
    <cellStyle name="Currency 4" xfId="2506"/>
    <cellStyle name="Currency 4 2" xfId="2507"/>
    <cellStyle name="Currency 4 3" xfId="2508"/>
    <cellStyle name="Currency 4 4" xfId="2509"/>
    <cellStyle name="Currency 5" xfId="2510"/>
    <cellStyle name="Currency 6" xfId="2511"/>
    <cellStyle name="Currency 7" xfId="2512"/>
    <cellStyle name="Currency 8" xfId="2513"/>
    <cellStyle name="Currency 9" xfId="2514"/>
    <cellStyle name="Currency0" xfId="2515"/>
    <cellStyle name="Currency0 2" xfId="2516"/>
    <cellStyle name="Currency1" xfId="2517"/>
    <cellStyle name="Currency-Denomination" xfId="2518"/>
    <cellStyle name="current day" xfId="2519"/>
    <cellStyle name="Cyndie" xfId="2520"/>
    <cellStyle name="DAILY_TITLE" xfId="2521"/>
    <cellStyle name="Data" xfId="2522"/>
    <cellStyle name="Date" xfId="2523"/>
    <cellStyle name="Date [mm-d-yyyy]" xfId="2524"/>
    <cellStyle name="Date [mmm-d-yyyy]" xfId="2525"/>
    <cellStyle name="Date [mmm-yyyy]" xfId="2526"/>
    <cellStyle name="Date 2" xfId="2527"/>
    <cellStyle name="Date Aligned" xfId="2528"/>
    <cellStyle name="Date dd-mmm" xfId="2529"/>
    <cellStyle name="Date dd-mmm-yy" xfId="2530"/>
    <cellStyle name="Date mmm-yy" xfId="2531"/>
    <cellStyle name="Date Short" xfId="2532"/>
    <cellStyle name="Date_- BP CONSO 2002-2012" xfId="2533"/>
    <cellStyle name="Date2" xfId="2534"/>
    <cellStyle name="Dati" xfId="2535"/>
    <cellStyle name="Dati Dec" xfId="2536"/>
    <cellStyle name="DAVE" xfId="2537"/>
    <cellStyle name="Décalé" xfId="2538"/>
    <cellStyle name="Decimal 0,0" xfId="2539"/>
    <cellStyle name="Decimal 0,00" xfId="2540"/>
    <cellStyle name="Decimal 0,0000" xfId="2541"/>
    <cellStyle name="Decimal_0dp" xfId="2542"/>
    <cellStyle name="default" xfId="2543"/>
    <cellStyle name="DELTA" xfId="2544"/>
    <cellStyle name="Deviant" xfId="2545"/>
    <cellStyle name="Dezimal [+line]" xfId="2546"/>
    <cellStyle name="Dezimal [0]_Acquisition stats" xfId="2547"/>
    <cellStyle name="Dezimal_Acquisition stats" xfId="2548"/>
    <cellStyle name="DimDown" xfId="2549"/>
    <cellStyle name="DimDownBold" xfId="2550"/>
    <cellStyle name="DimDownTitle" xfId="2551"/>
    <cellStyle name="Dollar" xfId="2552"/>
    <cellStyle name="Dollar (zero dec)" xfId="2553"/>
    <cellStyle name="DollarAmount" xfId="2554"/>
    <cellStyle name="DollarAmountBorder" xfId="2555"/>
    <cellStyle name="DollarAmountBorderMed" xfId="2556"/>
    <cellStyle name="DollarAmountBtmBorderMed" xfId="2557"/>
    <cellStyle name="DollarAmtTopBorder" xfId="2558"/>
    <cellStyle name="Dotted" xfId="2559"/>
    <cellStyle name="Dotted Line" xfId="2560"/>
    <cellStyle name="Double" xfId="2561"/>
    <cellStyle name="Double Accounting" xfId="2562"/>
    <cellStyle name="DropDown" xfId="2563"/>
    <cellStyle name="Eingabe" xfId="2564"/>
    <cellStyle name="Eingabe 10" xfId="2565"/>
    <cellStyle name="Eingabe 11" xfId="2566"/>
    <cellStyle name="Eingabe 12" xfId="2567"/>
    <cellStyle name="Eingabe 2" xfId="2568"/>
    <cellStyle name="Eingabe 3" xfId="2569"/>
    <cellStyle name="Eingabe 4" xfId="2570"/>
    <cellStyle name="Eingabe 5" xfId="2571"/>
    <cellStyle name="Eingabe 6" xfId="2572"/>
    <cellStyle name="Eingabe 7" xfId="2573"/>
    <cellStyle name="Eingabe 8" xfId="2574"/>
    <cellStyle name="Eingabe 9" xfId="2575"/>
    <cellStyle name="Enter Currency (0)" xfId="2576"/>
    <cellStyle name="Enter Currency (0) 2" xfId="2577"/>
    <cellStyle name="Enter Currency (2)" xfId="2578"/>
    <cellStyle name="Enter Currency (2) 2" xfId="2579"/>
    <cellStyle name="Enter Units (0)" xfId="2580"/>
    <cellStyle name="Enter Units (0) 2" xfId="2581"/>
    <cellStyle name="Enter Units (1)" xfId="2582"/>
    <cellStyle name="Enter Units (1) 2" xfId="2583"/>
    <cellStyle name="Enter Units (2)" xfId="2584"/>
    <cellStyle name="Enter Units (2) 2" xfId="2585"/>
    <cellStyle name="Entered" xfId="2586"/>
    <cellStyle name="Entered 2" xfId="2587"/>
    <cellStyle name="Est - $" xfId="2588"/>
    <cellStyle name="Est - %" xfId="2589"/>
    <cellStyle name="Est 0,000.0" xfId="2590"/>
    <cellStyle name="Euro" xfId="2591"/>
    <cellStyle name="Euro 2" xfId="2592"/>
    <cellStyle name="Euro 3" xfId="2593"/>
    <cellStyle name="Euro 4" xfId="2594"/>
    <cellStyle name="Euro 5" xfId="2595"/>
    <cellStyle name="Euro 6" xfId="2596"/>
    <cellStyle name="Euro_Cashflow Q1 CY09" xfId="2597"/>
    <cellStyle name="Explanatory Text 10" xfId="2598"/>
    <cellStyle name="Explanatory Text 10 2" xfId="2599"/>
    <cellStyle name="Explanatory Text 10 3" xfId="2600"/>
    <cellStyle name="Explanatory Text 11" xfId="2601"/>
    <cellStyle name="Explanatory Text 11 2" xfId="2602"/>
    <cellStyle name="Explanatory Text 11 3" xfId="2603"/>
    <cellStyle name="Explanatory Text 12" xfId="2604"/>
    <cellStyle name="Explanatory Text 12 2" xfId="2605"/>
    <cellStyle name="Explanatory Text 12 3" xfId="2606"/>
    <cellStyle name="Explanatory Text 13" xfId="2607"/>
    <cellStyle name="Explanatory Text 13 2" xfId="2608"/>
    <cellStyle name="Explanatory Text 13 3" xfId="2609"/>
    <cellStyle name="Explanatory Text 14" xfId="2610"/>
    <cellStyle name="Explanatory Text 14 2" xfId="2611"/>
    <cellStyle name="Explanatory Text 14 3" xfId="2612"/>
    <cellStyle name="Explanatory Text 15" xfId="2613"/>
    <cellStyle name="Explanatory Text 15 2" xfId="2614"/>
    <cellStyle name="Explanatory Text 15 3" xfId="2615"/>
    <cellStyle name="Explanatory Text 16" xfId="2616"/>
    <cellStyle name="Explanatory Text 17" xfId="2617"/>
    <cellStyle name="Explanatory Text 18" xfId="2618"/>
    <cellStyle name="Explanatory Text 19" xfId="4344"/>
    <cellStyle name="Explanatory Text 2" xfId="2619"/>
    <cellStyle name="Explanatory Text 2 10" xfId="2620"/>
    <cellStyle name="Explanatory Text 2 11" xfId="2621"/>
    <cellStyle name="Explanatory Text 2 12" xfId="2622"/>
    <cellStyle name="Explanatory Text 2 13" xfId="2623"/>
    <cellStyle name="Explanatory Text 2 14" xfId="2624"/>
    <cellStyle name="Explanatory Text 2 15" xfId="2625"/>
    <cellStyle name="Explanatory Text 2 2" xfId="2626"/>
    <cellStyle name="Explanatory Text 2 3" xfId="2627"/>
    <cellStyle name="Explanatory Text 2 4" xfId="2628"/>
    <cellStyle name="Explanatory Text 2 5" xfId="2629"/>
    <cellStyle name="Explanatory Text 2 6" xfId="2630"/>
    <cellStyle name="Explanatory Text 2 7" xfId="2631"/>
    <cellStyle name="Explanatory Text 2 8" xfId="2632"/>
    <cellStyle name="Explanatory Text 2 9" xfId="2633"/>
    <cellStyle name="Explanatory Text 3" xfId="2634"/>
    <cellStyle name="Explanatory Text 3 2" xfId="2635"/>
    <cellStyle name="Explanatory Text 3 3" xfId="2636"/>
    <cellStyle name="Explanatory Text 3 4" xfId="2637"/>
    <cellStyle name="Explanatory Text 3 5" xfId="2638"/>
    <cellStyle name="Explanatory Text 3 6" xfId="2639"/>
    <cellStyle name="Explanatory Text 3 7" xfId="2640"/>
    <cellStyle name="Explanatory Text 3 8" xfId="2641"/>
    <cellStyle name="Explanatory Text 4" xfId="2642"/>
    <cellStyle name="Explanatory Text 4 2" xfId="2643"/>
    <cellStyle name="Explanatory Text 5" xfId="2644"/>
    <cellStyle name="Explanatory Text 5 2" xfId="2645"/>
    <cellStyle name="Explanatory Text 6" xfId="2646"/>
    <cellStyle name="Explanatory Text 6 2" xfId="2647"/>
    <cellStyle name="Explanatory Text 7" xfId="2648"/>
    <cellStyle name="Explanatory Text 8" xfId="2649"/>
    <cellStyle name="Explanatory Text 9" xfId="2650"/>
    <cellStyle name="Explanatory Text 9 2" xfId="2651"/>
    <cellStyle name="Explanatory Text 9 3" xfId="2652"/>
    <cellStyle name="Explanatory Text 9 4" xfId="2653"/>
    <cellStyle name="Ezres [0]_Cable" xfId="2654"/>
    <cellStyle name="Ezres_Cable" xfId="2655"/>
    <cellStyle name="F H.T." xfId="2656"/>
    <cellStyle name="fa_column_header_bottom" xfId="3"/>
    <cellStyle name="FF_EURO" xfId="2657"/>
    <cellStyle name="Fixed" xfId="2658"/>
    <cellStyle name="Fixed [0]" xfId="2659"/>
    <cellStyle name="Fixed 2" xfId="2660"/>
    <cellStyle name="Fixed_Cashflow Q1 CY09" xfId="2661"/>
    <cellStyle name="Footnote" xfId="2662"/>
    <cellStyle name="Forecast Cell Column Heading" xfId="2663"/>
    <cellStyle name="format - Style1" xfId="2664"/>
    <cellStyle name="Formula" xfId="2665"/>
    <cellStyle name="Geneva 9" xfId="2666"/>
    <cellStyle name="Giga" xfId="2667"/>
    <cellStyle name="Good 10" xfId="2668"/>
    <cellStyle name="Good 10 2" xfId="2669"/>
    <cellStyle name="Good 10 3" xfId="2670"/>
    <cellStyle name="Good 11" xfId="2671"/>
    <cellStyle name="Good 11 2" xfId="2672"/>
    <cellStyle name="Good 11 3" xfId="2673"/>
    <cellStyle name="Good 12" xfId="2674"/>
    <cellStyle name="Good 12 2" xfId="2675"/>
    <cellStyle name="Good 12 3" xfId="2676"/>
    <cellStyle name="Good 13" xfId="2677"/>
    <cellStyle name="Good 13 2" xfId="2678"/>
    <cellStyle name="Good 13 3" xfId="2679"/>
    <cellStyle name="Good 14" xfId="2680"/>
    <cellStyle name="Good 14 2" xfId="2681"/>
    <cellStyle name="Good 14 3" xfId="2682"/>
    <cellStyle name="Good 15" xfId="2683"/>
    <cellStyle name="Good 15 2" xfId="2684"/>
    <cellStyle name="Good 15 3" xfId="2685"/>
    <cellStyle name="Good 16" xfId="2686"/>
    <cellStyle name="Good 17" xfId="2687"/>
    <cellStyle name="Good 18" xfId="2688"/>
    <cellStyle name="Good 19" xfId="2689"/>
    <cellStyle name="Good 2" xfId="2690"/>
    <cellStyle name="Good 2 10" xfId="2691"/>
    <cellStyle name="Good 2 11" xfId="2692"/>
    <cellStyle name="Good 2 12" xfId="2693"/>
    <cellStyle name="Good 2 13" xfId="2694"/>
    <cellStyle name="Good 2 14" xfId="2695"/>
    <cellStyle name="Good 2 15" xfId="2696"/>
    <cellStyle name="Good 2 2" xfId="2697"/>
    <cellStyle name="Good 2 3" xfId="2698"/>
    <cellStyle name="Good 2 4" xfId="2699"/>
    <cellStyle name="Good 2 5" xfId="2700"/>
    <cellStyle name="Good 2 6" xfId="2701"/>
    <cellStyle name="Good 2 7" xfId="2702"/>
    <cellStyle name="Good 2 8" xfId="2703"/>
    <cellStyle name="Good 2 9" xfId="2704"/>
    <cellStyle name="Good 20" xfId="4345"/>
    <cellStyle name="Good 3" xfId="2705"/>
    <cellStyle name="Good 3 2" xfId="2706"/>
    <cellStyle name="Good 3 3" xfId="2707"/>
    <cellStyle name="Good 3 4" xfId="2708"/>
    <cellStyle name="Good 3 5" xfId="2709"/>
    <cellStyle name="Good 3 6" xfId="2710"/>
    <cellStyle name="Good 3 7" xfId="2711"/>
    <cellStyle name="Good 3 8" xfId="2712"/>
    <cellStyle name="Good 4" xfId="2713"/>
    <cellStyle name="Good 4 2" xfId="2714"/>
    <cellStyle name="Good 5" xfId="2715"/>
    <cellStyle name="Good 5 2" xfId="2716"/>
    <cellStyle name="Good 6" xfId="2717"/>
    <cellStyle name="Good 6 2" xfId="2718"/>
    <cellStyle name="Good 7" xfId="2719"/>
    <cellStyle name="Good 8" xfId="2720"/>
    <cellStyle name="Good 9" xfId="2721"/>
    <cellStyle name="Good 9 2" xfId="2722"/>
    <cellStyle name="Good 9 3" xfId="2723"/>
    <cellStyle name="Good 9 4" xfId="2724"/>
    <cellStyle name="Grey" xfId="2725"/>
    <cellStyle name="Grün_Ausgabe" xfId="2726"/>
    <cellStyle name="Hard Percent" xfId="2727"/>
    <cellStyle name="HEADER" xfId="2728"/>
    <cellStyle name="Header 2" xfId="2729"/>
    <cellStyle name="Header Total" xfId="2730"/>
    <cellStyle name="header_Balance Sheet July 9 IFRS Sept 18" xfId="2731"/>
    <cellStyle name="Header1" xfId="2732"/>
    <cellStyle name="Header2" xfId="2733"/>
    <cellStyle name="Header3" xfId="2734"/>
    <cellStyle name="Header4" xfId="2735"/>
    <cellStyle name="Header4 10" xfId="2736"/>
    <cellStyle name="Header4 11" xfId="2737"/>
    <cellStyle name="Header4 12" xfId="2738"/>
    <cellStyle name="Header4 2" xfId="2739"/>
    <cellStyle name="Header4 3" xfId="2740"/>
    <cellStyle name="Header4 4" xfId="2741"/>
    <cellStyle name="Header4 5" xfId="2742"/>
    <cellStyle name="Header4 6" xfId="2743"/>
    <cellStyle name="Header4 7" xfId="2744"/>
    <cellStyle name="Header4 8" xfId="2745"/>
    <cellStyle name="Header4 9" xfId="2746"/>
    <cellStyle name="Heading" xfId="2747"/>
    <cellStyle name="Heading 1 10" xfId="2748"/>
    <cellStyle name="Heading 1 10 2" xfId="2749"/>
    <cellStyle name="Heading 1 10 3" xfId="2750"/>
    <cellStyle name="Heading 1 10 4" xfId="2751"/>
    <cellStyle name="Heading 1 11" xfId="2752"/>
    <cellStyle name="Heading 1 11 2" xfId="2753"/>
    <cellStyle name="Heading 1 11 3" xfId="2754"/>
    <cellStyle name="Heading 1 11 4" xfId="2755"/>
    <cellStyle name="Heading 1 12" xfId="2756"/>
    <cellStyle name="Heading 1 12 2" xfId="2757"/>
    <cellStyle name="Heading 1 12 3" xfId="2758"/>
    <cellStyle name="Heading 1 12 4" xfId="2759"/>
    <cellStyle name="Heading 1 13" xfId="2760"/>
    <cellStyle name="Heading 1 13 2" xfId="2761"/>
    <cellStyle name="Heading 1 13 3" xfId="2762"/>
    <cellStyle name="Heading 1 13 4" xfId="2763"/>
    <cellStyle name="Heading 1 14" xfId="2764"/>
    <cellStyle name="Heading 1 14 2" xfId="2765"/>
    <cellStyle name="Heading 1 14 3" xfId="2766"/>
    <cellStyle name="Heading 1 14 4" xfId="2767"/>
    <cellStyle name="Heading 1 15" xfId="2768"/>
    <cellStyle name="Heading 1 15 2" xfId="2769"/>
    <cellStyle name="Heading 1 15 3" xfId="2770"/>
    <cellStyle name="Heading 1 15 4" xfId="2771"/>
    <cellStyle name="Heading 1 16" xfId="2772"/>
    <cellStyle name="Heading 1 17" xfId="2773"/>
    <cellStyle name="Heading 1 18" xfId="2774"/>
    <cellStyle name="Heading 1 19" xfId="4346"/>
    <cellStyle name="Heading 1 2" xfId="2775"/>
    <cellStyle name="Heading 1 2 10" xfId="2776"/>
    <cellStyle name="Heading 1 2 10 2" xfId="2777"/>
    <cellStyle name="Heading 1 2 11" xfId="2778"/>
    <cellStyle name="Heading 1 2 12" xfId="2779"/>
    <cellStyle name="Heading 1 2 13" xfId="2780"/>
    <cellStyle name="Heading 1 2 14" xfId="2781"/>
    <cellStyle name="Heading 1 2 15" xfId="2782"/>
    <cellStyle name="Heading 1 2 2" xfId="2783"/>
    <cellStyle name="Heading 1 2 3" xfId="2784"/>
    <cellStyle name="Heading 1 2 4" xfId="2785"/>
    <cellStyle name="Heading 1 2 5" xfId="2786"/>
    <cellStyle name="Heading 1 2 6" xfId="2787"/>
    <cellStyle name="Heading 1 2 7" xfId="2788"/>
    <cellStyle name="Heading 1 2 8" xfId="2789"/>
    <cellStyle name="Heading 1 2 9" xfId="2790"/>
    <cellStyle name="Heading 1 3" xfId="2791"/>
    <cellStyle name="Heading 1 3 2" xfId="2792"/>
    <cellStyle name="Heading 1 3 2 2" xfId="2793"/>
    <cellStyle name="Heading 1 3 2 3" xfId="2794"/>
    <cellStyle name="Heading 1 3 3" xfId="2795"/>
    <cellStyle name="Heading 1 3 4" xfId="2796"/>
    <cellStyle name="Heading 1 3 5" xfId="2797"/>
    <cellStyle name="Heading 1 3 5 2" xfId="2798"/>
    <cellStyle name="Heading 1 3 6" xfId="2799"/>
    <cellStyle name="Heading 1 3 7" xfId="2800"/>
    <cellStyle name="Heading 1 3 8" xfId="2801"/>
    <cellStyle name="Heading 1 3 9" xfId="2802"/>
    <cellStyle name="Heading 1 4" xfId="2803"/>
    <cellStyle name="Heading 1 4 2" xfId="2804"/>
    <cellStyle name="Heading 1 4 3" xfId="2805"/>
    <cellStyle name="Heading 1 5" xfId="2806"/>
    <cellStyle name="Heading 1 5 2" xfId="2807"/>
    <cellStyle name="Heading 1 5 3" xfId="2808"/>
    <cellStyle name="Heading 1 6" xfId="2809"/>
    <cellStyle name="Heading 1 6 2" xfId="2810"/>
    <cellStyle name="Heading 1 6 3" xfId="2811"/>
    <cellStyle name="Heading 1 7" xfId="2812"/>
    <cellStyle name="Heading 1 7 2" xfId="2813"/>
    <cellStyle name="Heading 1 7 3" xfId="2814"/>
    <cellStyle name="Heading 1 8" xfId="2815"/>
    <cellStyle name="Heading 1 8 2" xfId="2816"/>
    <cellStyle name="Heading 1 8 3" xfId="2817"/>
    <cellStyle name="Heading 1 9" xfId="2818"/>
    <cellStyle name="Heading 1 9 2" xfId="2819"/>
    <cellStyle name="Heading 1 9 2 2" xfId="2820"/>
    <cellStyle name="Heading 1 9 3" xfId="2821"/>
    <cellStyle name="Heading 1 9 4" xfId="2822"/>
    <cellStyle name="Heading 1 9 5" xfId="2823"/>
    <cellStyle name="Heading 10" xfId="2824"/>
    <cellStyle name="Heading 11" xfId="2825"/>
    <cellStyle name="Heading 12" xfId="2826"/>
    <cellStyle name="Heading 13" xfId="2827"/>
    <cellStyle name="Heading 14" xfId="2828"/>
    <cellStyle name="Heading 15" xfId="2829"/>
    <cellStyle name="Heading 2 10" xfId="2830"/>
    <cellStyle name="Heading 2 10 2" xfId="2831"/>
    <cellStyle name="Heading 2 10 3" xfId="2832"/>
    <cellStyle name="Heading 2 10 4" xfId="2833"/>
    <cellStyle name="Heading 2 11" xfId="2834"/>
    <cellStyle name="Heading 2 11 2" xfId="2835"/>
    <cellStyle name="Heading 2 11 3" xfId="2836"/>
    <cellStyle name="Heading 2 11 4" xfId="2837"/>
    <cellStyle name="Heading 2 12" xfId="2838"/>
    <cellStyle name="Heading 2 12 2" xfId="2839"/>
    <cellStyle name="Heading 2 12 3" xfId="2840"/>
    <cellStyle name="Heading 2 12 4" xfId="2841"/>
    <cellStyle name="Heading 2 13" xfId="2842"/>
    <cellStyle name="Heading 2 13 2" xfId="2843"/>
    <cellStyle name="Heading 2 13 3" xfId="2844"/>
    <cellStyle name="Heading 2 13 4" xfId="2845"/>
    <cellStyle name="Heading 2 14" xfId="2846"/>
    <cellStyle name="Heading 2 14 2" xfId="2847"/>
    <cellStyle name="Heading 2 14 3" xfId="2848"/>
    <cellStyle name="Heading 2 14 4" xfId="2849"/>
    <cellStyle name="Heading 2 15" xfId="2850"/>
    <cellStyle name="Heading 2 15 2" xfId="2851"/>
    <cellStyle name="Heading 2 15 3" xfId="2852"/>
    <cellStyle name="Heading 2 15 4" xfId="2853"/>
    <cellStyle name="Heading 2 16" xfId="2854"/>
    <cellStyle name="Heading 2 17" xfId="2855"/>
    <cellStyle name="Heading 2 18" xfId="2856"/>
    <cellStyle name="Heading 2 19" xfId="4347"/>
    <cellStyle name="Heading 2 2" xfId="2857"/>
    <cellStyle name="Heading 2 2 10" xfId="2858"/>
    <cellStyle name="Heading 2 2 10 2" xfId="2859"/>
    <cellStyle name="Heading 2 2 11" xfId="2860"/>
    <cellStyle name="Heading 2 2 12" xfId="2861"/>
    <cellStyle name="Heading 2 2 13" xfId="2862"/>
    <cellStyle name="Heading 2 2 14" xfId="2863"/>
    <cellStyle name="Heading 2 2 15" xfId="2864"/>
    <cellStyle name="Heading 2 2 2" xfId="2865"/>
    <cellStyle name="Heading 2 2 3" xfId="2866"/>
    <cellStyle name="Heading 2 2 4" xfId="2867"/>
    <cellStyle name="Heading 2 2 5" xfId="2868"/>
    <cellStyle name="Heading 2 2 6" xfId="2869"/>
    <cellStyle name="Heading 2 2 7" xfId="2870"/>
    <cellStyle name="Heading 2 2 8" xfId="2871"/>
    <cellStyle name="Heading 2 2 9" xfId="2872"/>
    <cellStyle name="Heading 2 3" xfId="2873"/>
    <cellStyle name="Heading 2 3 2" xfId="2874"/>
    <cellStyle name="Heading 2 3 2 2" xfId="2875"/>
    <cellStyle name="Heading 2 3 2 3" xfId="2876"/>
    <cellStyle name="Heading 2 3 3" xfId="2877"/>
    <cellStyle name="Heading 2 3 4" xfId="2878"/>
    <cellStyle name="Heading 2 3 5" xfId="2879"/>
    <cellStyle name="Heading 2 3 5 2" xfId="2880"/>
    <cellStyle name="Heading 2 3 6" xfId="2881"/>
    <cellStyle name="Heading 2 3 7" xfId="2882"/>
    <cellStyle name="Heading 2 3 8" xfId="2883"/>
    <cellStyle name="Heading 2 3 9" xfId="2884"/>
    <cellStyle name="Heading 2 4" xfId="2885"/>
    <cellStyle name="Heading 2 4 2" xfId="2886"/>
    <cellStyle name="Heading 2 4 3" xfId="2887"/>
    <cellStyle name="Heading 2 5" xfId="2888"/>
    <cellStyle name="Heading 2 5 2" xfId="2889"/>
    <cellStyle name="Heading 2 5 3" xfId="2890"/>
    <cellStyle name="Heading 2 6" xfId="2891"/>
    <cellStyle name="Heading 2 6 2" xfId="2892"/>
    <cellStyle name="Heading 2 6 3" xfId="2893"/>
    <cellStyle name="Heading 2 7" xfId="2894"/>
    <cellStyle name="Heading 2 7 2" xfId="2895"/>
    <cellStyle name="Heading 2 7 3" xfId="2896"/>
    <cellStyle name="Heading 2 8" xfId="2897"/>
    <cellStyle name="Heading 2 8 2" xfId="2898"/>
    <cellStyle name="Heading 2 8 3" xfId="2899"/>
    <cellStyle name="Heading 2 9" xfId="2900"/>
    <cellStyle name="Heading 2 9 2" xfId="2901"/>
    <cellStyle name="Heading 2 9 2 2" xfId="2902"/>
    <cellStyle name="Heading 2 9 3" xfId="2903"/>
    <cellStyle name="Heading 2 9 4" xfId="2904"/>
    <cellStyle name="Heading 2 9 5" xfId="2905"/>
    <cellStyle name="Heading 3 10" xfId="2906"/>
    <cellStyle name="Heading 3 10 2" xfId="2907"/>
    <cellStyle name="Heading 3 10 3" xfId="2908"/>
    <cellStyle name="Heading 3 10 4" xfId="2909"/>
    <cellStyle name="Heading 3 11" xfId="2910"/>
    <cellStyle name="Heading 3 11 2" xfId="2911"/>
    <cellStyle name="Heading 3 11 3" xfId="2912"/>
    <cellStyle name="Heading 3 11 4" xfId="2913"/>
    <cellStyle name="Heading 3 12" xfId="2914"/>
    <cellStyle name="Heading 3 12 2" xfId="2915"/>
    <cellStyle name="Heading 3 12 3" xfId="2916"/>
    <cellStyle name="Heading 3 12 4" xfId="2917"/>
    <cellStyle name="Heading 3 13" xfId="2918"/>
    <cellStyle name="Heading 3 13 2" xfId="2919"/>
    <cellStyle name="Heading 3 13 3" xfId="2920"/>
    <cellStyle name="Heading 3 13 4" xfId="2921"/>
    <cellStyle name="Heading 3 14" xfId="2922"/>
    <cellStyle name="Heading 3 14 2" xfId="2923"/>
    <cellStyle name="Heading 3 14 3" xfId="2924"/>
    <cellStyle name="Heading 3 14 4" xfId="2925"/>
    <cellStyle name="Heading 3 15" xfId="2926"/>
    <cellStyle name="Heading 3 15 2" xfId="2927"/>
    <cellStyle name="Heading 3 15 3" xfId="2928"/>
    <cellStyle name="Heading 3 15 4" xfId="2929"/>
    <cellStyle name="Heading 3 16" xfId="2930"/>
    <cellStyle name="Heading 3 17" xfId="2931"/>
    <cellStyle name="Heading 3 18" xfId="2932"/>
    <cellStyle name="Heading 3 19" xfId="4348"/>
    <cellStyle name="Heading 3 2" xfId="2933"/>
    <cellStyle name="Heading 3 2 10" xfId="2934"/>
    <cellStyle name="Heading 3 2 10 2" xfId="2935"/>
    <cellStyle name="Heading 3 2 11" xfId="2936"/>
    <cellStyle name="Heading 3 2 12" xfId="2937"/>
    <cellStyle name="Heading 3 2 13" xfId="2938"/>
    <cellStyle name="Heading 3 2 14" xfId="2939"/>
    <cellStyle name="Heading 3 2 15" xfId="2940"/>
    <cellStyle name="Heading 3 2 2" xfId="2941"/>
    <cellStyle name="Heading 3 2 3" xfId="2942"/>
    <cellStyle name="Heading 3 2 4" xfId="2943"/>
    <cellStyle name="Heading 3 2 5" xfId="2944"/>
    <cellStyle name="Heading 3 2 6" xfId="2945"/>
    <cellStyle name="Heading 3 2 7" xfId="2946"/>
    <cellStyle name="Heading 3 2 8" xfId="2947"/>
    <cellStyle name="Heading 3 2 9" xfId="2948"/>
    <cellStyle name="Heading 3 3" xfId="2949"/>
    <cellStyle name="Heading 3 3 2" xfId="2950"/>
    <cellStyle name="Heading 3 3 2 2" xfId="2951"/>
    <cellStyle name="Heading 3 3 2 3" xfId="2952"/>
    <cellStyle name="Heading 3 3 3" xfId="2953"/>
    <cellStyle name="Heading 3 3 4" xfId="2954"/>
    <cellStyle name="Heading 3 3 5" xfId="2955"/>
    <cellStyle name="Heading 3 3 5 2" xfId="2956"/>
    <cellStyle name="Heading 3 3 6" xfId="2957"/>
    <cellStyle name="Heading 3 3 7" xfId="2958"/>
    <cellStyle name="Heading 3 3 8" xfId="2959"/>
    <cellStyle name="Heading 3 3 9" xfId="2960"/>
    <cellStyle name="Heading 3 4" xfId="2961"/>
    <cellStyle name="Heading 3 4 2" xfId="2962"/>
    <cellStyle name="Heading 3 4 3" xfId="2963"/>
    <cellStyle name="Heading 3 5" xfId="2964"/>
    <cellStyle name="Heading 3 5 2" xfId="2965"/>
    <cellStyle name="Heading 3 5 3" xfId="2966"/>
    <cellStyle name="Heading 3 6" xfId="2967"/>
    <cellStyle name="Heading 3 6 2" xfId="2968"/>
    <cellStyle name="Heading 3 6 3" xfId="2969"/>
    <cellStyle name="Heading 3 7" xfId="2970"/>
    <cellStyle name="Heading 3 7 2" xfId="2971"/>
    <cellStyle name="Heading 3 7 3" xfId="2972"/>
    <cellStyle name="Heading 3 8" xfId="2973"/>
    <cellStyle name="Heading 3 8 2" xfId="2974"/>
    <cellStyle name="Heading 3 8 3" xfId="2975"/>
    <cellStyle name="Heading 3 9" xfId="2976"/>
    <cellStyle name="Heading 3 9 2" xfId="2977"/>
    <cellStyle name="Heading 3 9 2 2" xfId="2978"/>
    <cellStyle name="Heading 3 9 3" xfId="2979"/>
    <cellStyle name="Heading 3 9 4" xfId="2980"/>
    <cellStyle name="Heading 3 9 5" xfId="2981"/>
    <cellStyle name="Heading 4 10" xfId="2982"/>
    <cellStyle name="Heading 4 10 2" xfId="2983"/>
    <cellStyle name="Heading 4 10 3" xfId="2984"/>
    <cellStyle name="Heading 4 10 4" xfId="2985"/>
    <cellStyle name="Heading 4 11" xfId="2986"/>
    <cellStyle name="Heading 4 11 2" xfId="2987"/>
    <cellStyle name="Heading 4 11 3" xfId="2988"/>
    <cellStyle name="Heading 4 11 4" xfId="2989"/>
    <cellStyle name="Heading 4 12" xfId="2990"/>
    <cellStyle name="Heading 4 12 2" xfId="2991"/>
    <cellStyle name="Heading 4 12 3" xfId="2992"/>
    <cellStyle name="Heading 4 12 4" xfId="2993"/>
    <cellStyle name="Heading 4 13" xfId="2994"/>
    <cellStyle name="Heading 4 13 2" xfId="2995"/>
    <cellStyle name="Heading 4 13 3" xfId="2996"/>
    <cellStyle name="Heading 4 13 4" xfId="2997"/>
    <cellStyle name="Heading 4 14" xfId="2998"/>
    <cellStyle name="Heading 4 14 2" xfId="2999"/>
    <cellStyle name="Heading 4 14 3" xfId="3000"/>
    <cellStyle name="Heading 4 14 4" xfId="3001"/>
    <cellStyle name="Heading 4 15" xfId="3002"/>
    <cellStyle name="Heading 4 15 2" xfId="3003"/>
    <cellStyle name="Heading 4 15 3" xfId="3004"/>
    <cellStyle name="Heading 4 15 4" xfId="3005"/>
    <cellStyle name="Heading 4 16" xfId="3006"/>
    <cellStyle name="Heading 4 17" xfId="3007"/>
    <cellStyle name="Heading 4 18" xfId="3008"/>
    <cellStyle name="Heading 4 19" xfId="4349"/>
    <cellStyle name="Heading 4 2" xfId="3009"/>
    <cellStyle name="Heading 4 2 10" xfId="3010"/>
    <cellStyle name="Heading 4 2 10 2" xfId="3011"/>
    <cellStyle name="Heading 4 2 11" xfId="3012"/>
    <cellStyle name="Heading 4 2 12" xfId="3013"/>
    <cellStyle name="Heading 4 2 13" xfId="3014"/>
    <cellStyle name="Heading 4 2 14" xfId="3015"/>
    <cellStyle name="Heading 4 2 15" xfId="3016"/>
    <cellStyle name="Heading 4 2 2" xfId="3017"/>
    <cellStyle name="Heading 4 2 3" xfId="3018"/>
    <cellStyle name="Heading 4 2 4" xfId="3019"/>
    <cellStyle name="Heading 4 2 5" xfId="3020"/>
    <cellStyle name="Heading 4 2 6" xfId="3021"/>
    <cellStyle name="Heading 4 2 7" xfId="3022"/>
    <cellStyle name="Heading 4 2 8" xfId="3023"/>
    <cellStyle name="Heading 4 2 9" xfId="3024"/>
    <cellStyle name="Heading 4 3" xfId="3025"/>
    <cellStyle name="Heading 4 3 2" xfId="3026"/>
    <cellStyle name="Heading 4 3 2 2" xfId="3027"/>
    <cellStyle name="Heading 4 3 2 3" xfId="3028"/>
    <cellStyle name="Heading 4 3 3" xfId="3029"/>
    <cellStyle name="Heading 4 3 4" xfId="3030"/>
    <cellStyle name="Heading 4 3 5" xfId="3031"/>
    <cellStyle name="Heading 4 3 5 2" xfId="3032"/>
    <cellStyle name="Heading 4 3 6" xfId="3033"/>
    <cellStyle name="Heading 4 3 7" xfId="3034"/>
    <cellStyle name="Heading 4 3 8" xfId="3035"/>
    <cellStyle name="Heading 4 3 9" xfId="3036"/>
    <cellStyle name="Heading 4 4" xfId="3037"/>
    <cellStyle name="Heading 4 4 2" xfId="3038"/>
    <cellStyle name="Heading 4 4 3" xfId="3039"/>
    <cellStyle name="Heading 4 5" xfId="3040"/>
    <cellStyle name="Heading 4 5 2" xfId="3041"/>
    <cellStyle name="Heading 4 5 3" xfId="3042"/>
    <cellStyle name="Heading 4 6" xfId="3043"/>
    <cellStyle name="Heading 4 6 2" xfId="3044"/>
    <cellStyle name="Heading 4 6 3" xfId="3045"/>
    <cellStyle name="Heading 4 7" xfId="3046"/>
    <cellStyle name="Heading 4 7 2" xfId="3047"/>
    <cellStyle name="Heading 4 7 3" xfId="3048"/>
    <cellStyle name="Heading 4 8" xfId="3049"/>
    <cellStyle name="Heading 4 8 2" xfId="3050"/>
    <cellStyle name="Heading 4 8 3" xfId="3051"/>
    <cellStyle name="Heading 4 9" xfId="3052"/>
    <cellStyle name="Heading 4 9 2" xfId="3053"/>
    <cellStyle name="Heading 4 9 2 2" xfId="3054"/>
    <cellStyle name="Heading 4 9 3" xfId="3055"/>
    <cellStyle name="Heading 4 9 4" xfId="3056"/>
    <cellStyle name="Heading 4 9 5" xfId="3057"/>
    <cellStyle name="Heading 5" xfId="3058"/>
    <cellStyle name="Heading 6" xfId="3059"/>
    <cellStyle name="Heading 7" xfId="3060"/>
    <cellStyle name="Heading 8" xfId="3061"/>
    <cellStyle name="Heading 9" xfId="3062"/>
    <cellStyle name="Heading I" xfId="3063"/>
    <cellStyle name="heading info" xfId="3064"/>
    <cellStyle name="Heading1" xfId="3065"/>
    <cellStyle name="Heading1 2" xfId="3066"/>
    <cellStyle name="Heading2" xfId="3067"/>
    <cellStyle name="Heading2 2" xfId="3068"/>
    <cellStyle name="HEADINGS" xfId="3069"/>
    <cellStyle name="HEADINGS 2" xfId="3070"/>
    <cellStyle name="HEADINGSTOP" xfId="3071"/>
    <cellStyle name="HEADINGSTOP 2" xfId="3072"/>
    <cellStyle name="Headline1" xfId="3073"/>
    <cellStyle name="Headline2" xfId="3074"/>
    <cellStyle name="Headline3" xfId="3075"/>
    <cellStyle name="Hidden Decimal 0,00" xfId="3076"/>
    <cellStyle name="HIGHLIGHT" xfId="3077"/>
    <cellStyle name="Id" xfId="3078"/>
    <cellStyle name="indicatif_nv" xfId="3079"/>
    <cellStyle name="initial" xfId="3080"/>
    <cellStyle name="Input [%]" xfId="3081"/>
    <cellStyle name="Input [%0]" xfId="3082"/>
    <cellStyle name="Input [%00]" xfId="3083"/>
    <cellStyle name="Input [0]" xfId="3084"/>
    <cellStyle name="Input [00]" xfId="3085"/>
    <cellStyle name="Input [yellow]" xfId="3086"/>
    <cellStyle name="Input 10" xfId="3087"/>
    <cellStyle name="Input 10 2" xfId="3088"/>
    <cellStyle name="Input 10 3" xfId="3089"/>
    <cellStyle name="Input 10 4" xfId="3090"/>
    <cellStyle name="Input 11" xfId="3091"/>
    <cellStyle name="Input 11 2" xfId="3092"/>
    <cellStyle name="Input 11 3" xfId="3093"/>
    <cellStyle name="Input 11 4" xfId="3094"/>
    <cellStyle name="Input 12" xfId="3095"/>
    <cellStyle name="Input 12 2" xfId="3096"/>
    <cellStyle name="Input 12 3" xfId="3097"/>
    <cellStyle name="Input 12 4" xfId="3098"/>
    <cellStyle name="Input 13" xfId="3099"/>
    <cellStyle name="Input 13 2" xfId="3100"/>
    <cellStyle name="Input 13 3" xfId="3101"/>
    <cellStyle name="Input 13 4" xfId="3102"/>
    <cellStyle name="Input 14" xfId="3103"/>
    <cellStyle name="Input 14 2" xfId="3104"/>
    <cellStyle name="Input 14 3" xfId="3105"/>
    <cellStyle name="Input 14 4" xfId="3106"/>
    <cellStyle name="Input 15" xfId="3107"/>
    <cellStyle name="Input 15 2" xfId="3108"/>
    <cellStyle name="Input 15 3" xfId="3109"/>
    <cellStyle name="Input 15 4" xfId="3110"/>
    <cellStyle name="Input 16" xfId="3111"/>
    <cellStyle name="Input 17" xfId="3112"/>
    <cellStyle name="Input 18" xfId="3113"/>
    <cellStyle name="Input 19" xfId="3114"/>
    <cellStyle name="Input 2" xfId="3115"/>
    <cellStyle name="Input 2 10" xfId="3116"/>
    <cellStyle name="Input 2 10 2" xfId="3117"/>
    <cellStyle name="Input 2 11" xfId="3118"/>
    <cellStyle name="Input 2 12" xfId="3119"/>
    <cellStyle name="Input 2 13" xfId="3120"/>
    <cellStyle name="Input 2 14" xfId="3121"/>
    <cellStyle name="Input 2 15" xfId="3122"/>
    <cellStyle name="Input 2 2" xfId="3123"/>
    <cellStyle name="Input 2 3" xfId="3124"/>
    <cellStyle name="Input 2 4" xfId="3125"/>
    <cellStyle name="Input 2 5" xfId="3126"/>
    <cellStyle name="Input 2 6" xfId="3127"/>
    <cellStyle name="Input 2 7" xfId="3128"/>
    <cellStyle name="Input 2 8" xfId="3129"/>
    <cellStyle name="Input 2 9" xfId="3130"/>
    <cellStyle name="Input 20" xfId="3131"/>
    <cellStyle name="Input 21" xfId="3132"/>
    <cellStyle name="Input 22" xfId="4350"/>
    <cellStyle name="Input 3" xfId="3133"/>
    <cellStyle name="Input 3 2" xfId="3134"/>
    <cellStyle name="Input 3 3" xfId="3135"/>
    <cellStyle name="Input 3 4" xfId="3136"/>
    <cellStyle name="Input 3 5" xfId="3137"/>
    <cellStyle name="Input 3 6" xfId="3138"/>
    <cellStyle name="Input 3 7" xfId="3139"/>
    <cellStyle name="Input 3 8" xfId="3140"/>
    <cellStyle name="Input 3 9" xfId="3141"/>
    <cellStyle name="Input 4" xfId="3142"/>
    <cellStyle name="Input 4 2" xfId="3143"/>
    <cellStyle name="Input 4 3" xfId="3144"/>
    <cellStyle name="Input 5" xfId="3145"/>
    <cellStyle name="Input 5 2" xfId="3146"/>
    <cellStyle name="Input 5 3" xfId="3147"/>
    <cellStyle name="Input 6" xfId="3148"/>
    <cellStyle name="Input 6 2" xfId="3149"/>
    <cellStyle name="Input 6 3" xfId="3150"/>
    <cellStyle name="Input 7" xfId="3151"/>
    <cellStyle name="Input 7 2" xfId="3152"/>
    <cellStyle name="Input 7 3" xfId="3153"/>
    <cellStyle name="Input 8" xfId="3154"/>
    <cellStyle name="Input 8 2" xfId="3155"/>
    <cellStyle name="Input 8 3" xfId="3156"/>
    <cellStyle name="Input 9" xfId="3157"/>
    <cellStyle name="Input 9 2" xfId="3158"/>
    <cellStyle name="Input 9 3" xfId="3159"/>
    <cellStyle name="Input 9 4" xfId="3160"/>
    <cellStyle name="Input 9 5" xfId="3161"/>
    <cellStyle name="Input Cells" xfId="3162"/>
    <cellStyle name="Input Col_Heading" xfId="3163"/>
    <cellStyle name="Input Currency" xfId="3164"/>
    <cellStyle name="Input Decimal 0" xfId="3165"/>
    <cellStyle name="Input Decimal 0 10" xfId="3166"/>
    <cellStyle name="Input Decimal 0 11" xfId="3167"/>
    <cellStyle name="Input Decimal 0 12" xfId="3168"/>
    <cellStyle name="Input Decimal 0 2" xfId="3169"/>
    <cellStyle name="Input Decimal 0 3" xfId="3170"/>
    <cellStyle name="Input Decimal 0 4" xfId="3171"/>
    <cellStyle name="Input Decimal 0 5" xfId="3172"/>
    <cellStyle name="Input Decimal 0 6" xfId="3173"/>
    <cellStyle name="Input Decimal 0 7" xfId="3174"/>
    <cellStyle name="Input Decimal 0 8" xfId="3175"/>
    <cellStyle name="Input Decimal 0 9" xfId="3176"/>
    <cellStyle name="Input Decimal 0,00" xfId="3177"/>
    <cellStyle name="Input Decimal 0,00 10" xfId="3178"/>
    <cellStyle name="Input Decimal 0,00 11" xfId="3179"/>
    <cellStyle name="Input Decimal 0,00 12" xfId="3180"/>
    <cellStyle name="Input Decimal 0,00 2" xfId="3181"/>
    <cellStyle name="Input Decimal 0,00 3" xfId="3182"/>
    <cellStyle name="Input Decimal 0,00 4" xfId="3183"/>
    <cellStyle name="Input Decimal 0,00 5" xfId="3184"/>
    <cellStyle name="Input Decimal 0,00 6" xfId="3185"/>
    <cellStyle name="Input Decimal 0,00 7" xfId="3186"/>
    <cellStyle name="Input Decimal 0,00 8" xfId="3187"/>
    <cellStyle name="Input Decimal 0,00 9" xfId="3188"/>
    <cellStyle name="Input Decimal 0_7.2.3. CAPEX" xfId="3189"/>
    <cellStyle name="Input Normal" xfId="3190"/>
    <cellStyle name="Input Percent" xfId="3191"/>
    <cellStyle name="Input Percent 0" xfId="3192"/>
    <cellStyle name="Input Percent 0 10" xfId="3193"/>
    <cellStyle name="Input Percent 0 11" xfId="3194"/>
    <cellStyle name="Input Percent 0 12" xfId="3195"/>
    <cellStyle name="Input Percent 0 2" xfId="3196"/>
    <cellStyle name="Input Percent 0 3" xfId="3197"/>
    <cellStyle name="Input Percent 0 4" xfId="3198"/>
    <cellStyle name="Input Percent 0 5" xfId="3199"/>
    <cellStyle name="Input Percent 0 6" xfId="3200"/>
    <cellStyle name="Input Percent 0 7" xfId="3201"/>
    <cellStyle name="Input Percent 0 8" xfId="3202"/>
    <cellStyle name="Input Percent 0 9" xfId="3203"/>
    <cellStyle name="Input Percent 0,00" xfId="3204"/>
    <cellStyle name="Input Percent 0,00 10" xfId="3205"/>
    <cellStyle name="Input Percent 0,00 11" xfId="3206"/>
    <cellStyle name="Input Percent 0,00 12" xfId="3207"/>
    <cellStyle name="Input Percent 0,00 2" xfId="3208"/>
    <cellStyle name="Input Percent 0,00 3" xfId="3209"/>
    <cellStyle name="Input Percent 0,00 4" xfId="3210"/>
    <cellStyle name="Input Percent 0,00 5" xfId="3211"/>
    <cellStyle name="Input Percent 0,00 6" xfId="3212"/>
    <cellStyle name="Input Percent 0,00 7" xfId="3213"/>
    <cellStyle name="Input Percent 0,00 8" xfId="3214"/>
    <cellStyle name="Input Percent 0,00 9" xfId="3215"/>
    <cellStyle name="Input Percent 0_7.2.3. CAPEX" xfId="3216"/>
    <cellStyle name="Input Titles" xfId="3217"/>
    <cellStyle name="InputDetailDate" xfId="3218"/>
    <cellStyle name="InputDetailInt" xfId="3219"/>
    <cellStyle name="InputDetailPct" xfId="3220"/>
    <cellStyle name="InputLockedInt" xfId="3221"/>
    <cellStyle name="InputLockedPct" xfId="3222"/>
    <cellStyle name="Invisible" xfId="3223"/>
    <cellStyle name="Kilo" xfId="3224"/>
    <cellStyle name="kopregel" xfId="3225"/>
    <cellStyle name="LB Style" xfId="3226"/>
    <cellStyle name="Lien hypertexte_PERSONAL" xfId="3227"/>
    <cellStyle name="LineItemPrompt" xfId="3228"/>
    <cellStyle name="LineItemValue" xfId="3229"/>
    <cellStyle name="Link Currency (0)" xfId="3230"/>
    <cellStyle name="Link Currency (0) 2" xfId="3231"/>
    <cellStyle name="Link Currency (2)" xfId="3232"/>
    <cellStyle name="Link Currency (2) 2" xfId="3233"/>
    <cellStyle name="Link Units (0)" xfId="3234"/>
    <cellStyle name="Link Units (0) 2" xfId="3235"/>
    <cellStyle name="Link Units (1)" xfId="3236"/>
    <cellStyle name="Link Units (1) 2" xfId="3237"/>
    <cellStyle name="Link Units (2)" xfId="3238"/>
    <cellStyle name="Link Units (2) 2" xfId="3239"/>
    <cellStyle name="Linked" xfId="3240"/>
    <cellStyle name="Linked Cell 10" xfId="3241"/>
    <cellStyle name="Linked Cell 10 2" xfId="3242"/>
    <cellStyle name="Linked Cell 10 3" xfId="3243"/>
    <cellStyle name="Linked Cell 11" xfId="3244"/>
    <cellStyle name="Linked Cell 11 2" xfId="3245"/>
    <cellStyle name="Linked Cell 11 3" xfId="3246"/>
    <cellStyle name="Linked Cell 12" xfId="3247"/>
    <cellStyle name="Linked Cell 12 2" xfId="3248"/>
    <cellStyle name="Linked Cell 12 3" xfId="3249"/>
    <cellStyle name="Linked Cell 13" xfId="3250"/>
    <cellStyle name="Linked Cell 13 2" xfId="3251"/>
    <cellStyle name="Linked Cell 13 3" xfId="3252"/>
    <cellStyle name="Linked Cell 14" xfId="3253"/>
    <cellStyle name="Linked Cell 14 2" xfId="3254"/>
    <cellStyle name="Linked Cell 14 3" xfId="3255"/>
    <cellStyle name="Linked Cell 15" xfId="3256"/>
    <cellStyle name="Linked Cell 15 2" xfId="3257"/>
    <cellStyle name="Linked Cell 15 3" xfId="3258"/>
    <cellStyle name="Linked Cell 16" xfId="3259"/>
    <cellStyle name="Linked Cell 17" xfId="3260"/>
    <cellStyle name="Linked Cell 18" xfId="3261"/>
    <cellStyle name="Linked Cell 19" xfId="4351"/>
    <cellStyle name="Linked Cell 2" xfId="3262"/>
    <cellStyle name="Linked Cell 2 10" xfId="3263"/>
    <cellStyle name="Linked Cell 2 11" xfId="3264"/>
    <cellStyle name="Linked Cell 2 12" xfId="3265"/>
    <cellStyle name="Linked Cell 2 13" xfId="3266"/>
    <cellStyle name="Linked Cell 2 14" xfId="3267"/>
    <cellStyle name="Linked Cell 2 15" xfId="3268"/>
    <cellStyle name="Linked Cell 2 2" xfId="3269"/>
    <cellStyle name="Linked Cell 2 3" xfId="3270"/>
    <cellStyle name="Linked Cell 2 4" xfId="3271"/>
    <cellStyle name="Linked Cell 2 5" xfId="3272"/>
    <cellStyle name="Linked Cell 2 6" xfId="3273"/>
    <cellStyle name="Linked Cell 2 7" xfId="3274"/>
    <cellStyle name="Linked Cell 2 8" xfId="3275"/>
    <cellStyle name="Linked Cell 2 9" xfId="3276"/>
    <cellStyle name="Linked Cell 3" xfId="3277"/>
    <cellStyle name="Linked Cell 3 2" xfId="3278"/>
    <cellStyle name="Linked Cell 3 3" xfId="3279"/>
    <cellStyle name="Linked Cell 3 4" xfId="3280"/>
    <cellStyle name="Linked Cell 3 5" xfId="3281"/>
    <cellStyle name="Linked Cell 3 5 2" xfId="3282"/>
    <cellStyle name="Linked Cell 3 6" xfId="3283"/>
    <cellStyle name="Linked Cell 3 7" xfId="3284"/>
    <cellStyle name="Linked Cell 3 8" xfId="3285"/>
    <cellStyle name="Linked Cell 3 9" xfId="3286"/>
    <cellStyle name="Linked Cell 4" xfId="3287"/>
    <cellStyle name="Linked Cell 4 2" xfId="3288"/>
    <cellStyle name="Linked Cell 5" xfId="3289"/>
    <cellStyle name="Linked Cell 5 2" xfId="3290"/>
    <cellStyle name="Linked Cell 6" xfId="3291"/>
    <cellStyle name="Linked Cell 6 2" xfId="3292"/>
    <cellStyle name="Linked Cell 7" xfId="3293"/>
    <cellStyle name="Linked Cell 8" xfId="3294"/>
    <cellStyle name="Linked Cell 9" xfId="3295"/>
    <cellStyle name="Linked Cell 9 2" xfId="3296"/>
    <cellStyle name="Linked Cell 9 2 2" xfId="3297"/>
    <cellStyle name="Linked Cell 9 3" xfId="3298"/>
    <cellStyle name="Linked Cell 9 4" xfId="3299"/>
    <cellStyle name="Linked Cell 9 5" xfId="3300"/>
    <cellStyle name="Linked Cells" xfId="3301"/>
    <cellStyle name="LTM Cell Column Heading" xfId="3302"/>
    <cellStyle name="Mega" xfId="3303"/>
    <cellStyle name="Millares [0]_pldt" xfId="3304"/>
    <cellStyle name="Millares_pldt" xfId="3305"/>
    <cellStyle name="Milliers [0]_!!!GO" xfId="3306"/>
    <cellStyle name="Milliers_!!!GO" xfId="3307"/>
    <cellStyle name="Mon_Year" xfId="3308"/>
    <cellStyle name="Moneda [0]_pldt" xfId="3309"/>
    <cellStyle name="Moneda_Coste Fidelizacion" xfId="3310"/>
    <cellStyle name="Monétaire [0]_!!!GO" xfId="3311"/>
    <cellStyle name="Monétaire_!!!GO" xfId="3312"/>
    <cellStyle name="MS Sans Serif" xfId="3313"/>
    <cellStyle name="MS_English" xfId="3314"/>
    <cellStyle name="Multiple" xfId="3315"/>
    <cellStyle name="Multiple Cell Column Heading" xfId="3316"/>
    <cellStyle name="NA is zero" xfId="3317"/>
    <cellStyle name="Neutral 10" xfId="3318"/>
    <cellStyle name="Neutral 10 2" xfId="3319"/>
    <cellStyle name="Neutral 10 3" xfId="3320"/>
    <cellStyle name="Neutral 11" xfId="3321"/>
    <cellStyle name="Neutral 11 2" xfId="3322"/>
    <cellStyle name="Neutral 11 3" xfId="3323"/>
    <cellStyle name="Neutral 12" xfId="3324"/>
    <cellStyle name="Neutral 12 2" xfId="3325"/>
    <cellStyle name="Neutral 12 3" xfId="3326"/>
    <cellStyle name="Neutral 13" xfId="3327"/>
    <cellStyle name="Neutral 13 2" xfId="3328"/>
    <cellStyle name="Neutral 13 3" xfId="3329"/>
    <cellStyle name="Neutral 14" xfId="3330"/>
    <cellStyle name="Neutral 14 2" xfId="3331"/>
    <cellStyle name="Neutral 14 3" xfId="3332"/>
    <cellStyle name="Neutral 15" xfId="3333"/>
    <cellStyle name="Neutral 15 2" xfId="3334"/>
    <cellStyle name="Neutral 15 3" xfId="3335"/>
    <cellStyle name="Neutral 16" xfId="3336"/>
    <cellStyle name="Neutral 17" xfId="3337"/>
    <cellStyle name="Neutral 18" xfId="3338"/>
    <cellStyle name="Neutral 19" xfId="3339"/>
    <cellStyle name="Neutral 2" xfId="3340"/>
    <cellStyle name="Neutral 2 10" xfId="3341"/>
    <cellStyle name="Neutral 2 11" xfId="3342"/>
    <cellStyle name="Neutral 2 12" xfId="3343"/>
    <cellStyle name="Neutral 2 13" xfId="3344"/>
    <cellStyle name="Neutral 2 14" xfId="3345"/>
    <cellStyle name="Neutral 2 15" xfId="3346"/>
    <cellStyle name="Neutral 2 2" xfId="3347"/>
    <cellStyle name="Neutral 2 3" xfId="3348"/>
    <cellStyle name="Neutral 2 4" xfId="3349"/>
    <cellStyle name="Neutral 2 5" xfId="3350"/>
    <cellStyle name="Neutral 2 6" xfId="3351"/>
    <cellStyle name="Neutral 2 7" xfId="3352"/>
    <cellStyle name="Neutral 2 8" xfId="3353"/>
    <cellStyle name="Neutral 2 9" xfId="3354"/>
    <cellStyle name="Neutral 20" xfId="4352"/>
    <cellStyle name="Neutral 3" xfId="3355"/>
    <cellStyle name="Neutral 3 2" xfId="3356"/>
    <cellStyle name="Neutral 3 3" xfId="3357"/>
    <cellStyle name="Neutral 3 4" xfId="3358"/>
    <cellStyle name="Neutral 3 5" xfId="3359"/>
    <cellStyle name="Neutral 3 5 2" xfId="3360"/>
    <cellStyle name="Neutral 3 6" xfId="3361"/>
    <cellStyle name="Neutral 3 7" xfId="3362"/>
    <cellStyle name="Neutral 3 8" xfId="3363"/>
    <cellStyle name="Neutral 3 9" xfId="3364"/>
    <cellStyle name="Neutral 4" xfId="3365"/>
    <cellStyle name="Neutral 4 2" xfId="3366"/>
    <cellStyle name="Neutral 5" xfId="3367"/>
    <cellStyle name="Neutral 5 2" xfId="3368"/>
    <cellStyle name="Neutral 6" xfId="3369"/>
    <cellStyle name="Neutral 6 2" xfId="3370"/>
    <cellStyle name="Neutral 7" xfId="3371"/>
    <cellStyle name="Neutral 8" xfId="3372"/>
    <cellStyle name="Neutral 9" xfId="3373"/>
    <cellStyle name="Neutral 9 2" xfId="3374"/>
    <cellStyle name="Neutral 9 2 2" xfId="3375"/>
    <cellStyle name="Neutral 9 3" xfId="3376"/>
    <cellStyle name="Neutral 9 4" xfId="3377"/>
    <cellStyle name="Neutral 9 5" xfId="3378"/>
    <cellStyle name="new style" xfId="3379"/>
    <cellStyle name="New Times Roman" xfId="3380"/>
    <cellStyle name="NewColumnHeaderNormal" xfId="3381"/>
    <cellStyle name="NewSectionHeaderNormal" xfId="3382"/>
    <cellStyle name="NewSectionHeaderNormal 2" xfId="3383"/>
    <cellStyle name="NewTitleNormal" xfId="3384"/>
    <cellStyle name="no dec" xfId="3385"/>
    <cellStyle name="nonmultiple" xfId="3386"/>
    <cellStyle name="NonPrint_Heading" xfId="3387"/>
    <cellStyle name="Norm੎੎" xfId="3388"/>
    <cellStyle name="Normal" xfId="0" builtinId="0"/>
    <cellStyle name="Normal - Style1" xfId="3389"/>
    <cellStyle name="Normal - Style1 2" xfId="3390"/>
    <cellStyle name="Normal - Style2" xfId="3391"/>
    <cellStyle name="Normal - Style3" xfId="3392"/>
    <cellStyle name="Normal - Style4" xfId="3393"/>
    <cellStyle name="Normal - Style5" xfId="3394"/>
    <cellStyle name="Normal - Style6" xfId="3395"/>
    <cellStyle name="Normal - Style7" xfId="3396"/>
    <cellStyle name="Normal - Style8" xfId="3397"/>
    <cellStyle name="Normal [0]" xfId="3398"/>
    <cellStyle name="Normal [1]" xfId="3399"/>
    <cellStyle name="Normal [2]" xfId="3400"/>
    <cellStyle name="Normal [3]" xfId="3401"/>
    <cellStyle name="Normal 10" xfId="3402"/>
    <cellStyle name="Normal 11" xfId="3403"/>
    <cellStyle name="Normal 12" xfId="3404"/>
    <cellStyle name="Normal 12 2" xfId="3405"/>
    <cellStyle name="Normal 13" xfId="3406"/>
    <cellStyle name="Normal 13 2" xfId="3407"/>
    <cellStyle name="Normal 14" xfId="3408"/>
    <cellStyle name="Normal 14 2" xfId="3409"/>
    <cellStyle name="Normal 14 3" xfId="3410"/>
    <cellStyle name="Normal 14 4" xfId="3411"/>
    <cellStyle name="Normal 15" xfId="3412"/>
    <cellStyle name="Normal 15 2" xfId="3413"/>
    <cellStyle name="Normal 15 3" xfId="3414"/>
    <cellStyle name="Normal 15 4" xfId="3415"/>
    <cellStyle name="Normal 16" xfId="3416"/>
    <cellStyle name="Normal 16 2" xfId="3417"/>
    <cellStyle name="Normal 17" xfId="3418"/>
    <cellStyle name="Normal 18" xfId="3419"/>
    <cellStyle name="Normal 18 2" xfId="3420"/>
    <cellStyle name="Normal 19" xfId="3421"/>
    <cellStyle name="Normal 2" xfId="4"/>
    <cellStyle name="Normal 2 10" xfId="3422"/>
    <cellStyle name="Normal 2 10 2" xfId="3423"/>
    <cellStyle name="Normal 2 10 2 2" xfId="3424"/>
    <cellStyle name="Normal 2 10 3" xfId="3425"/>
    <cellStyle name="Normal 2 10 4" xfId="3426"/>
    <cellStyle name="Normal 2 10 5" xfId="3427"/>
    <cellStyle name="Normal 2 11" xfId="3428"/>
    <cellStyle name="Normal 2 11 2" xfId="3429"/>
    <cellStyle name="Normal 2 11 3" xfId="3430"/>
    <cellStyle name="Normal 2 12" xfId="3431"/>
    <cellStyle name="Normal 2 12 2" xfId="3432"/>
    <cellStyle name="Normal 2 12 3" xfId="3433"/>
    <cellStyle name="Normal 2 13" xfId="3434"/>
    <cellStyle name="Normal 2 13 2" xfId="3435"/>
    <cellStyle name="Normal 2 14" xfId="3436"/>
    <cellStyle name="Normal 2 14 2" xfId="3437"/>
    <cellStyle name="Normal 2 15" xfId="3438"/>
    <cellStyle name="Normal 2 15 2" xfId="3439"/>
    <cellStyle name="Normal 2 16" xfId="3440"/>
    <cellStyle name="Normal 2 17" xfId="3441"/>
    <cellStyle name="Normal 2 18" xfId="3442"/>
    <cellStyle name="Normal 2 19" xfId="12"/>
    <cellStyle name="Normal 2 2" xfId="13"/>
    <cellStyle name="Normal 2 2 2" xfId="3443"/>
    <cellStyle name="Normal 2 2 2 2" xfId="3444"/>
    <cellStyle name="Normal 2 2 3" xfId="3445"/>
    <cellStyle name="Normal 2 2 3 2" xfId="3446"/>
    <cellStyle name="Normal 2 2 4" xfId="3447"/>
    <cellStyle name="Normal 2 3" xfId="3448"/>
    <cellStyle name="Normal 2 3 2" xfId="3449"/>
    <cellStyle name="Normal 2 3 2 2" xfId="3450"/>
    <cellStyle name="Normal 2 3 3" xfId="3451"/>
    <cellStyle name="Normal 2 3 4" xfId="3452"/>
    <cellStyle name="Normal 2 3 5" xfId="3453"/>
    <cellStyle name="Normal 2 3 6" xfId="3454"/>
    <cellStyle name="Normal 2 3 7" xfId="3455"/>
    <cellStyle name="Normal 2 4" xfId="3456"/>
    <cellStyle name="Normal 2 4 2" xfId="3457"/>
    <cellStyle name="Normal 2 4 3" xfId="3458"/>
    <cellStyle name="Normal 2 5" xfId="3459"/>
    <cellStyle name="Normal 2 5 2" xfId="3460"/>
    <cellStyle name="Normal 2 5 3" xfId="3461"/>
    <cellStyle name="Normal 2 6" xfId="3462"/>
    <cellStyle name="Normal 2 6 2" xfId="3463"/>
    <cellStyle name="Normal 2 6 3" xfId="3464"/>
    <cellStyle name="Normal 2 7" xfId="3465"/>
    <cellStyle name="Normal 2 7 2" xfId="3466"/>
    <cellStyle name="Normal 2 7 3" xfId="3467"/>
    <cellStyle name="Normal 2 8" xfId="3468"/>
    <cellStyle name="Normal 2 8 2" xfId="3469"/>
    <cellStyle name="Normal 2 8 3" xfId="3470"/>
    <cellStyle name="Normal 2 9" xfId="3471"/>
    <cellStyle name="Normal 2 9 2" xfId="3472"/>
    <cellStyle name="Normal 2 9 2 2" xfId="3473"/>
    <cellStyle name="Normal 2 9 3" xfId="3474"/>
    <cellStyle name="Normal 2 9 4" xfId="3475"/>
    <cellStyle name="Normal 2 9 5" xfId="3476"/>
    <cellStyle name="Normal 20" xfId="3477"/>
    <cellStyle name="Normal 20 2" xfId="3478"/>
    <cellStyle name="Normal 21" xfId="3479"/>
    <cellStyle name="Normal 22" xfId="3480"/>
    <cellStyle name="Normal 23" xfId="3481"/>
    <cellStyle name="Normal 24" xfId="3482"/>
    <cellStyle name="Normal 25" xfId="4313"/>
    <cellStyle name="Normal 25 2" xfId="4358"/>
    <cellStyle name="Normal 26" xfId="4362"/>
    <cellStyle name="Normal 27" xfId="4364"/>
    <cellStyle name="Normal 28" xfId="4369"/>
    <cellStyle name="Normal 29" xfId="4365"/>
    <cellStyle name="Normal 3" xfId="14"/>
    <cellStyle name="Normal 3 2" xfId="3483"/>
    <cellStyle name="Normal 3 2 2" xfId="3484"/>
    <cellStyle name="Normal 3 2 2 2" xfId="3485"/>
    <cellStyle name="Normal 3 2 3" xfId="3486"/>
    <cellStyle name="Normal 3 3" xfId="3487"/>
    <cellStyle name="Normal 3 4" xfId="3488"/>
    <cellStyle name="Normal 3_Display" xfId="3489"/>
    <cellStyle name="Normal 30" xfId="4368"/>
    <cellStyle name="Normal 31" xfId="4366"/>
    <cellStyle name="Normal 32" xfId="4367"/>
    <cellStyle name="Normal 33" xfId="4370"/>
    <cellStyle name="Normal 34" xfId="4383"/>
    <cellStyle name="Normal 35" xfId="4371"/>
    <cellStyle name="Normal 36" xfId="4382"/>
    <cellStyle name="Normal 37" xfId="4372"/>
    <cellStyle name="Normal 38" xfId="4381"/>
    <cellStyle name="Normal 39" xfId="4373"/>
    <cellStyle name="Normal 4" xfId="5"/>
    <cellStyle name="Normal 4 10" xfId="3490"/>
    <cellStyle name="Normal 4 2" xfId="3491"/>
    <cellStyle name="Normal 4 3" xfId="3492"/>
    <cellStyle name="Normal 4 4" xfId="3493"/>
    <cellStyle name="Normal 4 5" xfId="3494"/>
    <cellStyle name="Normal 4 5 2" xfId="3495"/>
    <cellStyle name="Normal 4 6" xfId="3496"/>
    <cellStyle name="Normal 4 7" xfId="3497"/>
    <cellStyle name="Normal 4 8" xfId="3498"/>
    <cellStyle name="Normal 4 9" xfId="3499"/>
    <cellStyle name="Normal 4_Display" xfId="3500"/>
    <cellStyle name="Normal 40" xfId="4380"/>
    <cellStyle name="Normal 41" xfId="4374"/>
    <cellStyle name="Normal 42" xfId="4379"/>
    <cellStyle name="Normal 43" xfId="4375"/>
    <cellStyle name="Normal 44" xfId="4378"/>
    <cellStyle name="Normal 45" xfId="4376"/>
    <cellStyle name="Normal 46" xfId="4377"/>
    <cellStyle name="Normal 47" xfId="4384"/>
    <cellStyle name="Normal 48" xfId="4385"/>
    <cellStyle name="Normal 5" xfId="3501"/>
    <cellStyle name="Normal 5 2" xfId="3502"/>
    <cellStyle name="Normal 5 3" xfId="3503"/>
    <cellStyle name="Normal 5 4" xfId="3504"/>
    <cellStyle name="Normal 5 5" xfId="3505"/>
    <cellStyle name="Normal 5 5 2" xfId="3506"/>
    <cellStyle name="Normal 5 6" xfId="3507"/>
    <cellStyle name="Normal 5 7" xfId="3508"/>
    <cellStyle name="Normal 5 8" xfId="3509"/>
    <cellStyle name="Normal 5_Display" xfId="3510"/>
    <cellStyle name="Normal 6" xfId="3511"/>
    <cellStyle name="Normal 6 2" xfId="3512"/>
    <cellStyle name="Normal 6_Display" xfId="3513"/>
    <cellStyle name="Normal 7" xfId="3514"/>
    <cellStyle name="Normal 7 2" xfId="3515"/>
    <cellStyle name="Normal 7 2 2" xfId="3516"/>
    <cellStyle name="Normal 7 2 3" xfId="3517"/>
    <cellStyle name="Normal 7 3" xfId="3518"/>
    <cellStyle name="Normal 7 3 2" xfId="3519"/>
    <cellStyle name="Normal 7 3 2 2" xfId="3520"/>
    <cellStyle name="Normal 7 3 2 3" xfId="3521"/>
    <cellStyle name="Normal 7 3 3" xfId="3522"/>
    <cellStyle name="Normal 7 3 4" xfId="3523"/>
    <cellStyle name="Normal 7 4" xfId="3524"/>
    <cellStyle name="Normal 7 5" xfId="3525"/>
    <cellStyle name="Normal 7 5 2" xfId="3526"/>
    <cellStyle name="Normal 7 5 3" xfId="3527"/>
    <cellStyle name="Normal 7 6" xfId="3528"/>
    <cellStyle name="Normal 7 7" xfId="3529"/>
    <cellStyle name="Normal 8" xfId="3530"/>
    <cellStyle name="Normal 8 2" xfId="3531"/>
    <cellStyle name="Normal 9" xfId="3532"/>
    <cellStyle name="Normal Bold" xfId="3533"/>
    <cellStyle name="Normal millions" xfId="3534"/>
    <cellStyle name="Normal no decimal" xfId="3535"/>
    <cellStyle name="Normal Pct" xfId="3536"/>
    <cellStyle name="Normal thousands" xfId="3537"/>
    <cellStyle name="Normal two decimals" xfId="3538"/>
    <cellStyle name="Normál_Book2000" xfId="3539"/>
    <cellStyle name="normal1" xfId="3540"/>
    <cellStyle name="NormalCenter" xfId="3541"/>
    <cellStyle name="NormalGB" xfId="3542"/>
    <cellStyle name="NormalItalic" xfId="3543"/>
    <cellStyle name="NormalLeft" xfId="3544"/>
    <cellStyle name="NormalLeftBorderMed" xfId="3545"/>
    <cellStyle name="NormalTopBorder" xfId="3546"/>
    <cellStyle name="NormalTopBorderMed" xfId="3547"/>
    <cellStyle name="NormalUnderln" xfId="3548"/>
    <cellStyle name="NOT" xfId="3549"/>
    <cellStyle name="Note 10" xfId="3550"/>
    <cellStyle name="Note 10 2" xfId="3551"/>
    <cellStyle name="Note 10 3" xfId="3552"/>
    <cellStyle name="Note 11" xfId="3553"/>
    <cellStyle name="Note 11 2" xfId="3554"/>
    <cellStyle name="Note 11 3" xfId="3555"/>
    <cellStyle name="Note 12" xfId="3556"/>
    <cellStyle name="Note 12 2" xfId="3557"/>
    <cellStyle name="Note 12 3" xfId="3558"/>
    <cellStyle name="Note 13" xfId="3559"/>
    <cellStyle name="Note 13 2" xfId="3560"/>
    <cellStyle name="Note 13 3" xfId="3561"/>
    <cellStyle name="Note 14" xfId="3562"/>
    <cellStyle name="Note 14 2" xfId="3563"/>
    <cellStyle name="Note 14 3" xfId="3564"/>
    <cellStyle name="Note 15" xfId="3565"/>
    <cellStyle name="Note 15 2" xfId="3566"/>
    <cellStyle name="Note 15 3" xfId="3567"/>
    <cellStyle name="Note 16" xfId="3568"/>
    <cellStyle name="Note 17" xfId="3569"/>
    <cellStyle name="Note 18" xfId="3570"/>
    <cellStyle name="Note 19" xfId="3571"/>
    <cellStyle name="Note 2" xfId="3572"/>
    <cellStyle name="Note 2 10" xfId="3573"/>
    <cellStyle name="Note 2 10 2" xfId="3574"/>
    <cellStyle name="Note 2 11" xfId="3575"/>
    <cellStyle name="Note 2 12" xfId="3576"/>
    <cellStyle name="Note 2 13" xfId="3577"/>
    <cellStyle name="Note 2 14" xfId="3578"/>
    <cellStyle name="Note 2 15" xfId="3579"/>
    <cellStyle name="Note 2 16" xfId="3580"/>
    <cellStyle name="Note 2 2" xfId="3581"/>
    <cellStyle name="Note 2 3" xfId="3582"/>
    <cellStyle name="Note 2 4" xfId="3583"/>
    <cellStyle name="Note 2 5" xfId="3584"/>
    <cellStyle name="Note 2 6" xfId="3585"/>
    <cellStyle name="Note 2 7" xfId="3586"/>
    <cellStyle name="Note 2 8" xfId="3587"/>
    <cellStyle name="Note 2 9" xfId="3588"/>
    <cellStyle name="Note 20" xfId="4353"/>
    <cellStyle name="Note 3" xfId="3589"/>
    <cellStyle name="Note 3 2" xfId="3590"/>
    <cellStyle name="Note 3 3" xfId="3591"/>
    <cellStyle name="Note 3 4" xfId="3592"/>
    <cellStyle name="Note 3 5" xfId="3593"/>
    <cellStyle name="Note 3 5 2" xfId="3594"/>
    <cellStyle name="Note 3 6" xfId="3595"/>
    <cellStyle name="Note 3 7" xfId="3596"/>
    <cellStyle name="Note 3 8" xfId="3597"/>
    <cellStyle name="Note 3 9" xfId="3598"/>
    <cellStyle name="Note 4" xfId="3599"/>
    <cellStyle name="Note 4 2" xfId="3600"/>
    <cellStyle name="Note 5" xfId="3601"/>
    <cellStyle name="Note 5 2" xfId="3602"/>
    <cellStyle name="Note 6" xfId="3603"/>
    <cellStyle name="Note 6 2" xfId="3604"/>
    <cellStyle name="Note 7" xfId="3605"/>
    <cellStyle name="Note 8" xfId="3606"/>
    <cellStyle name="Note 8 2" xfId="3607"/>
    <cellStyle name="Note 8 2 2" xfId="3608"/>
    <cellStyle name="Note 8 3" xfId="3609"/>
    <cellStyle name="Note 8 4" xfId="3610"/>
    <cellStyle name="Note 8 5" xfId="3611"/>
    <cellStyle name="Note 9" xfId="3612"/>
    <cellStyle name="Note 9 2" xfId="3613"/>
    <cellStyle name="Note 9 3" xfId="3614"/>
    <cellStyle name="Note 9 4" xfId="3615"/>
    <cellStyle name="Notes" xfId="3616"/>
    <cellStyle name="NPPESalesPct" xfId="3617"/>
    <cellStyle name="Number" xfId="3618"/>
    <cellStyle name="Number 2" xfId="3619"/>
    <cellStyle name="Number 3" xfId="3620"/>
    <cellStyle name="Number_Cashflow Q1 CY09" xfId="3621"/>
    <cellStyle name="NumberTopBorder" xfId="3622"/>
    <cellStyle name="Numéro_Tab" xfId="3623"/>
    <cellStyle name="NWI%S" xfId="3624"/>
    <cellStyle name="OBI_ColHeader" xfId="4361"/>
    <cellStyle name="Œ…‹æØ‚è [0.00]_laroux" xfId="3625"/>
    <cellStyle name="Œ…‹æØ‚è_laroux" xfId="3626"/>
    <cellStyle name="ore" xfId="3627"/>
    <cellStyle name="Output 10" xfId="3628"/>
    <cellStyle name="Output 10 2" xfId="3629"/>
    <cellStyle name="Output 10 3" xfId="3630"/>
    <cellStyle name="Output 11" xfId="3631"/>
    <cellStyle name="Output 11 2" xfId="3632"/>
    <cellStyle name="Output 11 3" xfId="3633"/>
    <cellStyle name="Output 12" xfId="3634"/>
    <cellStyle name="Output 12 2" xfId="3635"/>
    <cellStyle name="Output 12 3" xfId="3636"/>
    <cellStyle name="Output 13" xfId="3637"/>
    <cellStyle name="Output 13 2" xfId="3638"/>
    <cellStyle name="Output 13 3" xfId="3639"/>
    <cellStyle name="Output 14" xfId="3640"/>
    <cellStyle name="Output 14 2" xfId="3641"/>
    <cellStyle name="Output 14 3" xfId="3642"/>
    <cellStyle name="Output 15" xfId="3643"/>
    <cellStyle name="Output 15 2" xfId="3644"/>
    <cellStyle name="Output 15 3" xfId="3645"/>
    <cellStyle name="Output 16" xfId="3646"/>
    <cellStyle name="Output 17" xfId="3647"/>
    <cellStyle name="Output 18" xfId="3648"/>
    <cellStyle name="Output 19" xfId="3649"/>
    <cellStyle name="Output 2" xfId="3650"/>
    <cellStyle name="Output 2 10" xfId="3651"/>
    <cellStyle name="Output 2 11" xfId="3652"/>
    <cellStyle name="Output 2 12" xfId="3653"/>
    <cellStyle name="Output 2 13" xfId="3654"/>
    <cellStyle name="Output 2 14" xfId="3655"/>
    <cellStyle name="Output 2 15" xfId="3656"/>
    <cellStyle name="Output 2 2" xfId="3657"/>
    <cellStyle name="Output 2 3" xfId="3658"/>
    <cellStyle name="Output 2 4" xfId="3659"/>
    <cellStyle name="Output 2 5" xfId="3660"/>
    <cellStyle name="Output 2 6" xfId="3661"/>
    <cellStyle name="Output 2 7" xfId="3662"/>
    <cellStyle name="Output 2 8" xfId="3663"/>
    <cellStyle name="Output 2 9" xfId="3664"/>
    <cellStyle name="Output 20" xfId="4354"/>
    <cellStyle name="Output 3" xfId="3665"/>
    <cellStyle name="Output 3 2" xfId="3666"/>
    <cellStyle name="Output 3 3" xfId="3667"/>
    <cellStyle name="Output 3 4" xfId="3668"/>
    <cellStyle name="Output 3 5" xfId="3669"/>
    <cellStyle name="Output 3 5 2" xfId="3670"/>
    <cellStyle name="Output 3 6" xfId="3671"/>
    <cellStyle name="Output 3 7" xfId="3672"/>
    <cellStyle name="Output 3 8" xfId="3673"/>
    <cellStyle name="Output 3 9" xfId="3674"/>
    <cellStyle name="Output 4" xfId="3675"/>
    <cellStyle name="Output 4 2" xfId="3676"/>
    <cellStyle name="Output 5" xfId="3677"/>
    <cellStyle name="Output 5 2" xfId="3678"/>
    <cellStyle name="Output 6" xfId="3679"/>
    <cellStyle name="Output 6 2" xfId="3680"/>
    <cellStyle name="Output 7" xfId="3681"/>
    <cellStyle name="Output 8" xfId="3682"/>
    <cellStyle name="Output 9" xfId="3683"/>
    <cellStyle name="Output 9 2" xfId="3684"/>
    <cellStyle name="Output 9 2 2" xfId="3685"/>
    <cellStyle name="Output 9 3" xfId="3686"/>
    <cellStyle name="Output 9 4" xfId="3687"/>
    <cellStyle name="Output 9 5" xfId="3688"/>
    <cellStyle name="Output Amounts" xfId="3689"/>
    <cellStyle name="OUTPUT COLUMN HEADINGS" xfId="3690"/>
    <cellStyle name="Output Line Items" xfId="3691"/>
    <cellStyle name="OUTPUT REPORT HEADING" xfId="3692"/>
    <cellStyle name="OUTPUT REPORT TITLE" xfId="3693"/>
    <cellStyle name="Override" xfId="3694"/>
    <cellStyle name="Page Heading Large" xfId="3695"/>
    <cellStyle name="Page Heading Small" xfId="3696"/>
    <cellStyle name="Page Number" xfId="3697"/>
    <cellStyle name="paint" xfId="3698"/>
    <cellStyle name="Pénznem [0]_Cable" xfId="3699"/>
    <cellStyle name="Pénznem_Cable" xfId="3700"/>
    <cellStyle name="per.style" xfId="3701"/>
    <cellStyle name="Percent" xfId="4387" builtinId="5"/>
    <cellStyle name="Percent [0]" xfId="3702"/>
    <cellStyle name="Percent [0] 2" xfId="3703"/>
    <cellStyle name="Percent [00]" xfId="3704"/>
    <cellStyle name="Percent [00] 2" xfId="3705"/>
    <cellStyle name="Percent [1]" xfId="3706"/>
    <cellStyle name="Percent [2]" xfId="3707"/>
    <cellStyle name="Percent 0" xfId="3708"/>
    <cellStyle name="Percent 0,00" xfId="3709"/>
    <cellStyle name="Percent 0_7.2.3. CAPEX" xfId="3710"/>
    <cellStyle name="Percent 10" xfId="3711"/>
    <cellStyle name="Percent 11" xfId="3712"/>
    <cellStyle name="Percent 12" xfId="4316"/>
    <cellStyle name="Percent 12 2" xfId="4363"/>
    <cellStyle name="Percent 13" xfId="8"/>
    <cellStyle name="Percent 2" xfId="11"/>
    <cellStyle name="Percent 2 2" xfId="3713"/>
    <cellStyle name="Percent 2 3" xfId="3714"/>
    <cellStyle name="Percent 3" xfId="3715"/>
    <cellStyle name="Percent 3 2" xfId="3716"/>
    <cellStyle name="Percent 3 2 2" xfId="3717"/>
    <cellStyle name="Percent 3 2 2 2" xfId="3718"/>
    <cellStyle name="Percent 3 2 2 3" xfId="3719"/>
    <cellStyle name="Percent 3 2 3" xfId="3720"/>
    <cellStyle name="Percent 3 2 4" xfId="3721"/>
    <cellStyle name="Percent 3 3" xfId="3722"/>
    <cellStyle name="Percent 3 4" xfId="3723"/>
    <cellStyle name="Percent 3 4 2" xfId="3724"/>
    <cellStyle name="Percent 3 4 3" xfId="3725"/>
    <cellStyle name="Percent 3 5" xfId="3726"/>
    <cellStyle name="Percent 4" xfId="3727"/>
    <cellStyle name="Percent 5" xfId="3728"/>
    <cellStyle name="Percent 6" xfId="3729"/>
    <cellStyle name="Percent 7" xfId="3730"/>
    <cellStyle name="Percent 8" xfId="3731"/>
    <cellStyle name="Percent 9" xfId="3732"/>
    <cellStyle name="Percent Hard" xfId="3733"/>
    <cellStyle name="Percent0Dec" xfId="3734"/>
    <cellStyle name="Percent2Dec" xfId="3735"/>
    <cellStyle name="percentage" xfId="3736"/>
    <cellStyle name="Percento" xfId="3737"/>
    <cellStyle name="PercentSales" xfId="3738"/>
    <cellStyle name="PillarData" xfId="3739"/>
    <cellStyle name="PillarHeading" xfId="3740"/>
    <cellStyle name="PillarText" xfId="3741"/>
    <cellStyle name="PillarTotal" xfId="3742"/>
    <cellStyle name="Pourcentage_losses 2005 04" xfId="3743"/>
    <cellStyle name="Precent" xfId="3744"/>
    <cellStyle name="PrePop Currency (0)" xfId="3745"/>
    <cellStyle name="PrePop Currency (0) 2" xfId="3746"/>
    <cellStyle name="PrePop Currency (2)" xfId="3747"/>
    <cellStyle name="PrePop Currency (2) 2" xfId="3748"/>
    <cellStyle name="PrePop Units (0)" xfId="3749"/>
    <cellStyle name="PrePop Units (0) 2" xfId="3750"/>
    <cellStyle name="PrePop Units (1)" xfId="3751"/>
    <cellStyle name="PrePop Units (1) 2" xfId="3752"/>
    <cellStyle name="PrePop Units (2)" xfId="3753"/>
    <cellStyle name="PrePop Units (2) 2" xfId="3754"/>
    <cellStyle name="Pricelist" xfId="3755"/>
    <cellStyle name="pricing" xfId="3756"/>
    <cellStyle name="pricing 2" xfId="3757"/>
    <cellStyle name="Product Title" xfId="3758"/>
    <cellStyle name="Product Title 10" xfId="3759"/>
    <cellStyle name="Product Title 11" xfId="3760"/>
    <cellStyle name="Product Title 12" xfId="3761"/>
    <cellStyle name="Product Title 2" xfId="3762"/>
    <cellStyle name="Product Title 3" xfId="3763"/>
    <cellStyle name="Product Title 4" xfId="3764"/>
    <cellStyle name="Product Title 5" xfId="3765"/>
    <cellStyle name="Product Title 6" xfId="3766"/>
    <cellStyle name="Product Title 7" xfId="3767"/>
    <cellStyle name="Product Title 8" xfId="3768"/>
    <cellStyle name="Product Title 9" xfId="3769"/>
    <cellStyle name="Prozent +line" xfId="3770"/>
    <cellStyle name="Prozent(+line)" xfId="3771"/>
    <cellStyle name="Prozent_7.2.3. CAPEX" xfId="3772"/>
    <cellStyle name="PSChar" xfId="3773"/>
    <cellStyle name="PSDate" xfId="3774"/>
    <cellStyle name="PSDec" xfId="3775"/>
    <cellStyle name="PSHeading" xfId="3776"/>
    <cellStyle name="PSInt" xfId="3777"/>
    <cellStyle name="PSSpacer" xfId="3778"/>
    <cellStyle name="Red font" xfId="3779"/>
    <cellStyle name="réel" xfId="3780"/>
    <cellStyle name="Reference" xfId="3781"/>
    <cellStyle name="Reference (O%)" xfId="3782"/>
    <cellStyle name="Reference (O%) 10" xfId="3783"/>
    <cellStyle name="Reference (O%) 11" xfId="3784"/>
    <cellStyle name="Reference (O%) 12" xfId="3785"/>
    <cellStyle name="Reference (O%) 2" xfId="3786"/>
    <cellStyle name="Reference (O%) 3" xfId="3787"/>
    <cellStyle name="Reference (O%) 4" xfId="3788"/>
    <cellStyle name="Reference (O%) 5" xfId="3789"/>
    <cellStyle name="Reference (O%) 6" xfId="3790"/>
    <cellStyle name="Reference (O%) 7" xfId="3791"/>
    <cellStyle name="Reference (O%) 8" xfId="3792"/>
    <cellStyle name="Reference (O%) 9" xfId="3793"/>
    <cellStyle name="Reference [00]" xfId="3794"/>
    <cellStyle name="Reference [00] 10" xfId="3795"/>
    <cellStyle name="Reference [00] 11" xfId="3796"/>
    <cellStyle name="Reference [00] 12" xfId="3797"/>
    <cellStyle name="Reference [00] 2" xfId="3798"/>
    <cellStyle name="Reference [00] 3" xfId="3799"/>
    <cellStyle name="Reference [00] 4" xfId="3800"/>
    <cellStyle name="Reference [00] 5" xfId="3801"/>
    <cellStyle name="Reference [00] 6" xfId="3802"/>
    <cellStyle name="Reference [00] 7" xfId="3803"/>
    <cellStyle name="Reference [00] 8" xfId="3804"/>
    <cellStyle name="Reference [00] 9" xfId="3805"/>
    <cellStyle name="Reference 10" xfId="3806"/>
    <cellStyle name="Reference 11" xfId="3807"/>
    <cellStyle name="Reference 12" xfId="3808"/>
    <cellStyle name="Reference 2" xfId="3809"/>
    <cellStyle name="Reference 3" xfId="3810"/>
    <cellStyle name="Reference 4" xfId="3811"/>
    <cellStyle name="Reference 5" xfId="3812"/>
    <cellStyle name="Reference 6" xfId="3813"/>
    <cellStyle name="Reference 7" xfId="3814"/>
    <cellStyle name="Reference 8" xfId="3815"/>
    <cellStyle name="Reference 9" xfId="3816"/>
    <cellStyle name="Reference_Form CC 1 2 4 June 05" xfId="3817"/>
    <cellStyle name="regstoresfromspecstores" xfId="3818"/>
    <cellStyle name="ReportTitlePrompt" xfId="3819"/>
    <cellStyle name="ReportTitleValue" xfId="3820"/>
    <cellStyle name="RevList" xfId="3821"/>
    <cellStyle name="RevList 2" xfId="3822"/>
    <cellStyle name="Row Ignore" xfId="3823"/>
    <cellStyle name="Row Ignore 10" xfId="3824"/>
    <cellStyle name="Row Ignore 11" xfId="3825"/>
    <cellStyle name="Row Ignore 12" xfId="3826"/>
    <cellStyle name="Row Ignore 2" xfId="3827"/>
    <cellStyle name="Row Ignore 3" xfId="3828"/>
    <cellStyle name="Row Ignore 4" xfId="3829"/>
    <cellStyle name="Row Ignore 5" xfId="3830"/>
    <cellStyle name="Row Ignore 6" xfId="3831"/>
    <cellStyle name="Row Ignore 7" xfId="3832"/>
    <cellStyle name="Row Ignore 8" xfId="3833"/>
    <cellStyle name="Row Ignore 9" xfId="3834"/>
    <cellStyle name="Row Title 1" xfId="3835"/>
    <cellStyle name="Row Title 2" xfId="3836"/>
    <cellStyle name="Row Title 3" xfId="3837"/>
    <cellStyle name="Row Total" xfId="3838"/>
    <cellStyle name="RowAcctAbovePrompt" xfId="3839"/>
    <cellStyle name="RowAcctSOBAbovePrompt" xfId="3840"/>
    <cellStyle name="RowAcctSOBValue" xfId="3841"/>
    <cellStyle name="RowAcctValue" xfId="3842"/>
    <cellStyle name="RowAttrAbovePrompt" xfId="3843"/>
    <cellStyle name="RowAttrValue" xfId="3844"/>
    <cellStyle name="RowColSetAbovePrompt" xfId="3845"/>
    <cellStyle name="RowColSetLeftPrompt" xfId="3846"/>
    <cellStyle name="RowColSetValue" xfId="3847"/>
    <cellStyle name="RowHeader_Indent3" xfId="3848"/>
    <cellStyle name="RowLeftPrompt" xfId="3849"/>
    <cellStyle name="RowLevel_0" xfId="3850"/>
    <cellStyle name="Saisie" xfId="3851"/>
    <cellStyle name="Salomon Logo" xfId="3852"/>
    <cellStyle name="SampleUsingFormatMask" xfId="3853"/>
    <cellStyle name="SampleWithNoFormatMask" xfId="3854"/>
    <cellStyle name="SectionHeaderNormal" xfId="3855"/>
    <cellStyle name="Shade on" xfId="3856"/>
    <cellStyle name="Shaded" xfId="3857"/>
    <cellStyle name="SHADEDSTORES" xfId="3858"/>
    <cellStyle name="ShOut" xfId="3859"/>
    <cellStyle name="Simbolo" xfId="3860"/>
    <cellStyle name="single" xfId="3861"/>
    <cellStyle name="Single Accounting" xfId="3862"/>
    <cellStyle name="Single Cell Column Heading" xfId="3863"/>
    <cellStyle name="specstores" xfId="3864"/>
    <cellStyle name="Standaard_Residential" xfId="3865"/>
    <cellStyle name="Standard" xfId="3866"/>
    <cellStyle name="Standard format" xfId="3867"/>
    <cellStyle name="Standard_GRPK2005_Q1 - YTD - v2" xfId="3868"/>
    <cellStyle name="STIL1 - Style1" xfId="3869"/>
    <cellStyle name="Style 1" xfId="3870"/>
    <cellStyle name="Style 1 2" xfId="3871"/>
    <cellStyle name="Style 1 3" xfId="3872"/>
    <cellStyle name="Style 1_Cashflow Q1 CY09" xfId="3873"/>
    <cellStyle name="Style 2" xfId="3874"/>
    <cellStyle name="Style 2B" xfId="3875"/>
    <cellStyle name="Style 3" xfId="3876"/>
    <cellStyle name="Style 4" xfId="3877"/>
    <cellStyle name="SubScript" xfId="3878"/>
    <cellStyle name="SubTitle" xfId="3879"/>
    <cellStyle name="Subtotal" xfId="3880"/>
    <cellStyle name="Subtotal 2" xfId="3881"/>
    <cellStyle name="summary info only" xfId="3882"/>
    <cellStyle name="Summe" xfId="3883"/>
    <cellStyle name="SuperScript" xfId="3884"/>
    <cellStyle name="Table Col Head" xfId="3885"/>
    <cellStyle name="Table Head" xfId="3886"/>
    <cellStyle name="Table Head Aligned" xfId="3887"/>
    <cellStyle name="Table Head Blue" xfId="3888"/>
    <cellStyle name="Table Head Green" xfId="3889"/>
    <cellStyle name="Table Head_Val_Sum_Graph" xfId="3890"/>
    <cellStyle name="Table Sub Head" xfId="3891"/>
    <cellStyle name="Table Text" xfId="3892"/>
    <cellStyle name="Table Title" xfId="3893"/>
    <cellStyle name="Table Units" xfId="3894"/>
    <cellStyle name="Table_Header" xfId="3895"/>
    <cellStyle name="Tariff" xfId="3896"/>
    <cellStyle name="task" xfId="3897"/>
    <cellStyle name="TCAM" xfId="3898"/>
    <cellStyle name="TDM" xfId="3899"/>
    <cellStyle name="Testo" xfId="3900"/>
    <cellStyle name="Text" xfId="3901"/>
    <cellStyle name="Text 1" xfId="3902"/>
    <cellStyle name="Text 10" xfId="3903"/>
    <cellStyle name="Text 11" xfId="3904"/>
    <cellStyle name="Text 12" xfId="3905"/>
    <cellStyle name="Text 2" xfId="3906"/>
    <cellStyle name="Text 3" xfId="3907"/>
    <cellStyle name="Text 4" xfId="3908"/>
    <cellStyle name="Text 5" xfId="3909"/>
    <cellStyle name="Text 6" xfId="3910"/>
    <cellStyle name="Text 7" xfId="3911"/>
    <cellStyle name="Text 8" xfId="3912"/>
    <cellStyle name="Text 9" xfId="3913"/>
    <cellStyle name="Text Head 1" xfId="3914"/>
    <cellStyle name="Text Indent A" xfId="3915"/>
    <cellStyle name="Text Indent B" xfId="3916"/>
    <cellStyle name="Text Indent B 2" xfId="3917"/>
    <cellStyle name="Text Indent C" xfId="3918"/>
    <cellStyle name="Text Indent C 2" xfId="3919"/>
    <cellStyle name="Text Level 1" xfId="3920"/>
    <cellStyle name="Text Level 2" xfId="3921"/>
    <cellStyle name="Text Level 3" xfId="3922"/>
    <cellStyle name="Text Level 4" xfId="3923"/>
    <cellStyle name="Text Wrap" xfId="3924"/>
    <cellStyle name="Text_Income statement 2005.06" xfId="3925"/>
    <cellStyle name="TextBold" xfId="3926"/>
    <cellStyle name="TextItalic" xfId="3927"/>
    <cellStyle name="TextNormal" xfId="3928"/>
    <cellStyle name="TFCF" xfId="3929"/>
    <cellStyle name="Thousands" xfId="3930"/>
    <cellStyle name="Times 10" xfId="3931"/>
    <cellStyle name="Times 12" xfId="3932"/>
    <cellStyle name="Title 10" xfId="3933"/>
    <cellStyle name="Title 10 2" xfId="3934"/>
    <cellStyle name="Title 10 3" xfId="3935"/>
    <cellStyle name="Title 10 4" xfId="3936"/>
    <cellStyle name="Title 11" xfId="3937"/>
    <cellStyle name="Title 11 2" xfId="3938"/>
    <cellStyle name="Title 11 3" xfId="3939"/>
    <cellStyle name="Title 11 4" xfId="3940"/>
    <cellStyle name="Title 12" xfId="3941"/>
    <cellStyle name="Title 12 2" xfId="3942"/>
    <cellStyle name="Title 12 3" xfId="3943"/>
    <cellStyle name="Title 12 4" xfId="3944"/>
    <cellStyle name="Title 13" xfId="3945"/>
    <cellStyle name="Title 13 2" xfId="3946"/>
    <cellStyle name="Title 13 3" xfId="3947"/>
    <cellStyle name="Title 13 4" xfId="3948"/>
    <cellStyle name="Title 14" xfId="3949"/>
    <cellStyle name="Title 14 2" xfId="3950"/>
    <cellStyle name="Title 14 3" xfId="3951"/>
    <cellStyle name="Title 14 4" xfId="3952"/>
    <cellStyle name="Title 15" xfId="3953"/>
    <cellStyle name="Title 15 2" xfId="3954"/>
    <cellStyle name="Title 15 3" xfId="3955"/>
    <cellStyle name="Title 15 4" xfId="3956"/>
    <cellStyle name="Title 16" xfId="3957"/>
    <cellStyle name="Title 17" xfId="3958"/>
    <cellStyle name="Title 18" xfId="3959"/>
    <cellStyle name="Title 19" xfId="3960"/>
    <cellStyle name="Title 2" xfId="3961"/>
    <cellStyle name="Title 2 10" xfId="3962"/>
    <cellStyle name="Title 2 10 2" xfId="3963"/>
    <cellStyle name="Title 2 11" xfId="3964"/>
    <cellStyle name="Title 2 12" xfId="3965"/>
    <cellStyle name="Title 2 13" xfId="3966"/>
    <cellStyle name="Title 2 14" xfId="3967"/>
    <cellStyle name="Title 2 15" xfId="3968"/>
    <cellStyle name="Title 2 2" xfId="3969"/>
    <cellStyle name="Title 2 3" xfId="3970"/>
    <cellStyle name="Title 2 4" xfId="3971"/>
    <cellStyle name="Title 2 5" xfId="3972"/>
    <cellStyle name="Title 2 6" xfId="3973"/>
    <cellStyle name="Title 2 7" xfId="3974"/>
    <cellStyle name="Title 2 8" xfId="3975"/>
    <cellStyle name="Title 2 9" xfId="3976"/>
    <cellStyle name="Title 20" xfId="4355"/>
    <cellStyle name="Title 3" xfId="3977"/>
    <cellStyle name="Title 3 2" xfId="3978"/>
    <cellStyle name="Title 3 2 2" xfId="3979"/>
    <cellStyle name="Title 3 2 3" xfId="3980"/>
    <cellStyle name="Title 3 3" xfId="3981"/>
    <cellStyle name="Title 3 4" xfId="3982"/>
    <cellStyle name="Title 3 5" xfId="3983"/>
    <cellStyle name="Title 3 5 2" xfId="3984"/>
    <cellStyle name="Title 3 6" xfId="3985"/>
    <cellStyle name="Title 3 7" xfId="3986"/>
    <cellStyle name="Title 3 8" xfId="3987"/>
    <cellStyle name="Title 3 9" xfId="3988"/>
    <cellStyle name="Title 4" xfId="3989"/>
    <cellStyle name="Title 4 2" xfId="3990"/>
    <cellStyle name="Title 4 3" xfId="3991"/>
    <cellStyle name="Title 5" xfId="3992"/>
    <cellStyle name="Title 5 2" xfId="3993"/>
    <cellStyle name="Title 5 3" xfId="3994"/>
    <cellStyle name="Title 6" xfId="3995"/>
    <cellStyle name="Title 6 2" xfId="3996"/>
    <cellStyle name="Title 6 3" xfId="3997"/>
    <cellStyle name="Title 7" xfId="3998"/>
    <cellStyle name="Title 7 2" xfId="3999"/>
    <cellStyle name="Title 7 3" xfId="4000"/>
    <cellStyle name="Title 8" xfId="4001"/>
    <cellStyle name="Title 8 2" xfId="4002"/>
    <cellStyle name="Title 8 3" xfId="4003"/>
    <cellStyle name="Title 9" xfId="4004"/>
    <cellStyle name="Title 9 2" xfId="4005"/>
    <cellStyle name="Title 9 2 2" xfId="4006"/>
    <cellStyle name="Title 9 3" xfId="4007"/>
    <cellStyle name="Title 9 4" xfId="4008"/>
    <cellStyle name="Title 9 5" xfId="4009"/>
    <cellStyle name="TitleNormal" xfId="4010"/>
    <cellStyle name="Titolo" xfId="4011"/>
    <cellStyle name="Titolo Riga" xfId="4012"/>
    <cellStyle name="Titolo Riga 2" xfId="4013"/>
    <cellStyle name="titre" xfId="4014"/>
    <cellStyle name="Titre 2" xfId="4015"/>
    <cellStyle name="Top_Border" xfId="4016"/>
    <cellStyle name="Tot" xfId="4017"/>
    <cellStyle name="Tot 10" xfId="4018"/>
    <cellStyle name="Tot 11" xfId="4019"/>
    <cellStyle name="Tot 12" xfId="4020"/>
    <cellStyle name="Tot 2" xfId="4021"/>
    <cellStyle name="Tot 3" xfId="4022"/>
    <cellStyle name="Tot 4" xfId="4023"/>
    <cellStyle name="Tot 5" xfId="4024"/>
    <cellStyle name="Tot 6" xfId="4025"/>
    <cellStyle name="Tot 7" xfId="4026"/>
    <cellStyle name="Tot 8" xfId="4027"/>
    <cellStyle name="Tot 9" xfId="4028"/>
    <cellStyle name="Tot Dec" xfId="4029"/>
    <cellStyle name="Tot Dec 10" xfId="4030"/>
    <cellStyle name="Tot Dec 11" xfId="4031"/>
    <cellStyle name="Tot Dec 12" xfId="4032"/>
    <cellStyle name="Tot Dec 2" xfId="4033"/>
    <cellStyle name="Tot Dec 3" xfId="4034"/>
    <cellStyle name="Tot Dec 4" xfId="4035"/>
    <cellStyle name="Tot Dec 5" xfId="4036"/>
    <cellStyle name="Tot Dec 6" xfId="4037"/>
    <cellStyle name="Tot Dec 7" xfId="4038"/>
    <cellStyle name="Tot Dec 8" xfId="4039"/>
    <cellStyle name="Tot Dec 9" xfId="4040"/>
    <cellStyle name="Total 10" xfId="4041"/>
    <cellStyle name="Total 10 2" xfId="4042"/>
    <cellStyle name="Total 10 3" xfId="4043"/>
    <cellStyle name="Total 10 4" xfId="4044"/>
    <cellStyle name="Total 11" xfId="4045"/>
    <cellStyle name="Total 11 2" xfId="4046"/>
    <cellStyle name="Total 11 3" xfId="4047"/>
    <cellStyle name="Total 11 4" xfId="4048"/>
    <cellStyle name="Total 12" xfId="4049"/>
    <cellStyle name="Total 12 2" xfId="4050"/>
    <cellStyle name="Total 12 3" xfId="4051"/>
    <cellStyle name="Total 12 4" xfId="4052"/>
    <cellStyle name="Total 13" xfId="4053"/>
    <cellStyle name="Total 13 2" xfId="4054"/>
    <cellStyle name="Total 13 3" xfId="4055"/>
    <cellStyle name="Total 13 4" xfId="4056"/>
    <cellStyle name="Total 14" xfId="4057"/>
    <cellStyle name="Total 14 2" xfId="4058"/>
    <cellStyle name="Total 14 3" xfId="4059"/>
    <cellStyle name="Total 14 4" xfId="4060"/>
    <cellStyle name="Total 15" xfId="4061"/>
    <cellStyle name="Total 15 2" xfId="4062"/>
    <cellStyle name="Total 15 3" xfId="4063"/>
    <cellStyle name="Total 15 4" xfId="4064"/>
    <cellStyle name="Total 16" xfId="4065"/>
    <cellStyle name="Total 17" xfId="4066"/>
    <cellStyle name="Total 18" xfId="4067"/>
    <cellStyle name="Total 19" xfId="4068"/>
    <cellStyle name="Total 2" xfId="4069"/>
    <cellStyle name="Total 2 10" xfId="4070"/>
    <cellStyle name="Total 2 10 2" xfId="4071"/>
    <cellStyle name="Total 2 11" xfId="4072"/>
    <cellStyle name="Total 2 12" xfId="4073"/>
    <cellStyle name="Total 2 13" xfId="4074"/>
    <cellStyle name="Total 2 14" xfId="4075"/>
    <cellStyle name="Total 2 15" xfId="4076"/>
    <cellStyle name="Total 2 2" xfId="4077"/>
    <cellStyle name="Total 2 3" xfId="4078"/>
    <cellStyle name="Total 2 4" xfId="4079"/>
    <cellStyle name="Total 2 5" xfId="4080"/>
    <cellStyle name="Total 2 6" xfId="4081"/>
    <cellStyle name="Total 2 7" xfId="4082"/>
    <cellStyle name="Total 2 8" xfId="4083"/>
    <cellStyle name="Total 2 9" xfId="4084"/>
    <cellStyle name="Total 20" xfId="4356"/>
    <cellStyle name="Total 3" xfId="4085"/>
    <cellStyle name="Total 3 2" xfId="4086"/>
    <cellStyle name="Total 3 2 2" xfId="4087"/>
    <cellStyle name="Total 3 2 3" xfId="4088"/>
    <cellStyle name="Total 3 3" xfId="4089"/>
    <cellStyle name="Total 3 4" xfId="4090"/>
    <cellStyle name="Total 3 5" xfId="4091"/>
    <cellStyle name="Total 3 5 2" xfId="4092"/>
    <cellStyle name="Total 3 6" xfId="4093"/>
    <cellStyle name="Total 3 7" xfId="4094"/>
    <cellStyle name="Total 3 8" xfId="4095"/>
    <cellStyle name="Total 3 9" xfId="4096"/>
    <cellStyle name="Total 4" xfId="4097"/>
    <cellStyle name="Total 4 2" xfId="4098"/>
    <cellStyle name="Total 4 3" xfId="4099"/>
    <cellStyle name="Total 5" xfId="4100"/>
    <cellStyle name="Total 5 2" xfId="4101"/>
    <cellStyle name="Total 5 3" xfId="4102"/>
    <cellStyle name="Total 6" xfId="4103"/>
    <cellStyle name="Total 6 2" xfId="4104"/>
    <cellStyle name="Total 6 3" xfId="4105"/>
    <cellStyle name="Total 7" xfId="4106"/>
    <cellStyle name="Total 7 2" xfId="4107"/>
    <cellStyle name="Total 7 3" xfId="4108"/>
    <cellStyle name="Total 8" xfId="4109"/>
    <cellStyle name="Total 8 2" xfId="4110"/>
    <cellStyle name="Total 8 3" xfId="4111"/>
    <cellStyle name="Total 9" xfId="4112"/>
    <cellStyle name="Total 9 2" xfId="4113"/>
    <cellStyle name="Total 9 2 2" xfId="4114"/>
    <cellStyle name="Total 9 3" xfId="4115"/>
    <cellStyle name="Total 9 4" xfId="4116"/>
    <cellStyle name="Total 9 5" xfId="4117"/>
    <cellStyle name="Total Data" xfId="4118"/>
    <cellStyle name="Totale" xfId="4119"/>
    <cellStyle name="Totale 10" xfId="4120"/>
    <cellStyle name="Totale 11" xfId="4121"/>
    <cellStyle name="Totale 12" xfId="4122"/>
    <cellStyle name="Totale 2" xfId="4123"/>
    <cellStyle name="Totale 3" xfId="4124"/>
    <cellStyle name="Totale 4" xfId="4125"/>
    <cellStyle name="Totale 5" xfId="4126"/>
    <cellStyle name="Totale 6" xfId="4127"/>
    <cellStyle name="Totale 7" xfId="4128"/>
    <cellStyle name="Totale 8" xfId="4129"/>
    <cellStyle name="Totale 9" xfId="4130"/>
    <cellStyle name="Totale Dec" xfId="4131"/>
    <cellStyle name="Totale Dec 10" xfId="4132"/>
    <cellStyle name="Totale Dec 11" xfId="4133"/>
    <cellStyle name="Totale Dec 12" xfId="4134"/>
    <cellStyle name="Totale Dec 2" xfId="4135"/>
    <cellStyle name="Totale Dec 3" xfId="4136"/>
    <cellStyle name="Totale Dec 4" xfId="4137"/>
    <cellStyle name="Totale Dec 5" xfId="4138"/>
    <cellStyle name="Totale Dec 6" xfId="4139"/>
    <cellStyle name="Totale Dec 7" xfId="4140"/>
    <cellStyle name="Totale Dec 8" xfId="4141"/>
    <cellStyle name="Totale Dec 9" xfId="4142"/>
    <cellStyle name="Undefiniert" xfId="4143"/>
    <cellStyle name="Underline" xfId="4144"/>
    <cellStyle name="Unprot" xfId="4145"/>
    <cellStyle name="Unprot$" xfId="4146"/>
    <cellStyle name="Unprot_All BOMS Metro" xfId="4147"/>
    <cellStyle name="Unprotect" xfId="4148"/>
    <cellStyle name="UploadThisRowValue" xfId="4149"/>
    <cellStyle name="User_Defined_A" xfId="4150"/>
    <cellStyle name="ViewDate" xfId="4151"/>
    <cellStyle name="ViewDetailDate" xfId="4152"/>
    <cellStyle name="ViewDetailInt" xfId="4153"/>
    <cellStyle name="ViewDetailPct" xfId="4154"/>
    <cellStyle name="ViewGrndTotalInt" xfId="4155"/>
    <cellStyle name="ViewGrndTotalInt 10" xfId="4156"/>
    <cellStyle name="ViewGrndTotalInt 11" xfId="4157"/>
    <cellStyle name="ViewGrndTotalInt 12" xfId="4158"/>
    <cellStyle name="ViewGrndTotalInt 2" xfId="4159"/>
    <cellStyle name="ViewGrndTotalInt 3" xfId="4160"/>
    <cellStyle name="ViewGrndTotalInt 4" xfId="4161"/>
    <cellStyle name="ViewGrndTotalInt 5" xfId="4162"/>
    <cellStyle name="ViewGrndTotalInt 6" xfId="4163"/>
    <cellStyle name="ViewGrndTotalInt 7" xfId="4164"/>
    <cellStyle name="ViewGrndTotalInt 8" xfId="4165"/>
    <cellStyle name="ViewGrndTotalInt 9" xfId="4166"/>
    <cellStyle name="ViewGrndTotalPct" xfId="4167"/>
    <cellStyle name="ViewGrndTotalPct 10" xfId="4168"/>
    <cellStyle name="ViewGrndTotalPct 11" xfId="4169"/>
    <cellStyle name="ViewGrndTotalPct 12" xfId="4170"/>
    <cellStyle name="ViewGrndTotalPct 2" xfId="4171"/>
    <cellStyle name="ViewGrndTotalPct 3" xfId="4172"/>
    <cellStyle name="ViewGrndTotalPct 4" xfId="4173"/>
    <cellStyle name="ViewGrndTotalPct 5" xfId="4174"/>
    <cellStyle name="ViewGrndTotalPct 6" xfId="4175"/>
    <cellStyle name="ViewGrndTotalPct 7" xfId="4176"/>
    <cellStyle name="ViewGrndTotalPct 8" xfId="4177"/>
    <cellStyle name="ViewGrndTotalPct 9" xfId="4178"/>
    <cellStyle name="ViewHide" xfId="4179"/>
    <cellStyle name="ViewTotal" xfId="4180"/>
    <cellStyle name="ViewTotalHide" xfId="4181"/>
    <cellStyle name="ViewTotalInt" xfId="4182"/>
    <cellStyle name="ViewTotalPct" xfId="4183"/>
    <cellStyle name="Währung [0]_Acquisition stats" xfId="4184"/>
    <cellStyle name="Währung_Acquisition stats" xfId="4185"/>
    <cellStyle name="Warning" xfId="4186"/>
    <cellStyle name="Warning Text 10" xfId="4187"/>
    <cellStyle name="Warning Text 10 2" xfId="4188"/>
    <cellStyle name="Warning Text 10 3" xfId="4189"/>
    <cellStyle name="Warning Text 11" xfId="4190"/>
    <cellStyle name="Warning Text 11 2" xfId="4191"/>
    <cellStyle name="Warning Text 11 3" xfId="4192"/>
    <cellStyle name="Warning Text 12" xfId="4193"/>
    <cellStyle name="Warning Text 12 2" xfId="4194"/>
    <cellStyle name="Warning Text 12 3" xfId="4195"/>
    <cellStyle name="Warning Text 13" xfId="4196"/>
    <cellStyle name="Warning Text 13 2" xfId="4197"/>
    <cellStyle name="Warning Text 13 3" xfId="4198"/>
    <cellStyle name="Warning Text 14" xfId="4199"/>
    <cellStyle name="Warning Text 14 2" xfId="4200"/>
    <cellStyle name="Warning Text 14 3" xfId="4201"/>
    <cellStyle name="Warning Text 15" xfId="4202"/>
    <cellStyle name="Warning Text 15 2" xfId="4203"/>
    <cellStyle name="Warning Text 15 3" xfId="4204"/>
    <cellStyle name="Warning Text 16" xfId="4205"/>
    <cellStyle name="Warning Text 17" xfId="4206"/>
    <cellStyle name="Warning Text 18" xfId="4207"/>
    <cellStyle name="Warning Text 19" xfId="4208"/>
    <cellStyle name="Warning Text 2" xfId="4209"/>
    <cellStyle name="Warning Text 2 10" xfId="4210"/>
    <cellStyle name="Warning Text 2 11" xfId="4211"/>
    <cellStyle name="Warning Text 2 12" xfId="4212"/>
    <cellStyle name="Warning Text 2 13" xfId="4213"/>
    <cellStyle name="Warning Text 2 14" xfId="4214"/>
    <cellStyle name="Warning Text 2 15" xfId="4215"/>
    <cellStyle name="Warning Text 2 2" xfId="4216"/>
    <cellStyle name="Warning Text 2 3" xfId="4217"/>
    <cellStyle name="Warning Text 2 4" xfId="4218"/>
    <cellStyle name="Warning Text 2 5" xfId="4219"/>
    <cellStyle name="Warning Text 2 6" xfId="4220"/>
    <cellStyle name="Warning Text 2 7" xfId="4221"/>
    <cellStyle name="Warning Text 2 8" xfId="4222"/>
    <cellStyle name="Warning Text 2 9" xfId="4223"/>
    <cellStyle name="Warning Text 20" xfId="4357"/>
    <cellStyle name="Warning Text 3" xfId="4224"/>
    <cellStyle name="Warning Text 3 2" xfId="4225"/>
    <cellStyle name="Warning Text 3 3" xfId="4226"/>
    <cellStyle name="Warning Text 3 4" xfId="4227"/>
    <cellStyle name="Warning Text 3 5" xfId="4228"/>
    <cellStyle name="Warning Text 3 6" xfId="4229"/>
    <cellStyle name="Warning Text 3 7" xfId="4230"/>
    <cellStyle name="Warning Text 3 8" xfId="4231"/>
    <cellStyle name="Warning Text 4" xfId="4232"/>
    <cellStyle name="Warning Text 4 2" xfId="4233"/>
    <cellStyle name="Warning Text 5" xfId="4234"/>
    <cellStyle name="Warning Text 5 2" xfId="4235"/>
    <cellStyle name="Warning Text 6" xfId="4236"/>
    <cellStyle name="Warning Text 6 2" xfId="4237"/>
    <cellStyle name="Warning Text 7" xfId="4238"/>
    <cellStyle name="Warning Text 8" xfId="4239"/>
    <cellStyle name="Warning Text 9" xfId="4240"/>
    <cellStyle name="Warning Text 9 2" xfId="4241"/>
    <cellStyle name="Warning Text 9 3" xfId="4242"/>
    <cellStyle name="Warning Text 9 4" xfId="4243"/>
    <cellStyle name="web_ normal" xfId="4244"/>
    <cellStyle name="Work in progress" xfId="4245"/>
    <cellStyle name="x" xfId="4246"/>
    <cellStyle name="Year" xfId="4247"/>
    <cellStyle name="Yellow" xfId="4248"/>
    <cellStyle name="Yen" xfId="4249"/>
    <cellStyle name="똿뗦먛귟 [0.00]_laroux" xfId="4250"/>
    <cellStyle name="똿뗦먛귟_laroux" xfId="4251"/>
    <cellStyle name="믅됞 [0.00]_laroux" xfId="4252"/>
    <cellStyle name="믅됞_laroux" xfId="4253"/>
    <cellStyle name="백분율_95" xfId="4254"/>
    <cellStyle name="뷭?_BOOKSHIP" xfId="4255"/>
    <cellStyle name="콤마 [0]_1202" xfId="4262"/>
    <cellStyle name="콤마_1202" xfId="4263"/>
    <cellStyle name="통화 [0]_1202" xfId="4264"/>
    <cellStyle name="통화_1202" xfId="4265"/>
    <cellStyle name="표준_(정보부문)월별인원계획" xfId="4267"/>
    <cellStyle name="一般_Sheet1" xfId="4256"/>
    <cellStyle name="中等" xfId="4257"/>
    <cellStyle name="備註" xfId="4258"/>
    <cellStyle name="千位分隔[0]_BOM 3EC 37531 AAAA" xfId="4259"/>
    <cellStyle name="千位分隔_BOM 3EC 37531 AAAA" xfId="4260"/>
    <cellStyle name="合計" xfId="4261"/>
    <cellStyle name="壞" xfId="4266"/>
    <cellStyle name="好" xfId="4268"/>
    <cellStyle name="好_XBOX Total BI Q1'08 0310" xfId="4269"/>
    <cellStyle name="差" xfId="4270"/>
    <cellStyle name="常规_BOM 3EC 37531 AAAA" xfId="4271"/>
    <cellStyle name="强调文字颜色 1" xfId="4272"/>
    <cellStyle name="强调文字颜色 2" xfId="4273"/>
    <cellStyle name="强调文字颜色 3" xfId="4274"/>
    <cellStyle name="强调文字颜色 4" xfId="4275"/>
    <cellStyle name="强调文字颜色 5" xfId="4276"/>
    <cellStyle name="强调文字颜色 6" xfId="4277"/>
    <cellStyle name="标题" xfId="4278"/>
    <cellStyle name="标题 1" xfId="4279"/>
    <cellStyle name="标题 2" xfId="4280"/>
    <cellStyle name="标题 3" xfId="4281"/>
    <cellStyle name="标题 4" xfId="4282"/>
    <cellStyle name="检查单元格" xfId="4283"/>
    <cellStyle name="標題" xfId="4284"/>
    <cellStyle name="標題 1" xfId="4285"/>
    <cellStyle name="標題 2" xfId="4286"/>
    <cellStyle name="標題 3" xfId="4287"/>
    <cellStyle name="標題 4" xfId="4288"/>
    <cellStyle name="檢查儲存格" xfId="4289"/>
    <cellStyle name="汇总" xfId="4290"/>
    <cellStyle name="注释" xfId="4291"/>
    <cellStyle name="解释性文本" xfId="4292"/>
    <cellStyle name="計算方式" xfId="4293"/>
    <cellStyle name="說明文字" xfId="4294"/>
    <cellStyle name="警告文字" xfId="4295"/>
    <cellStyle name="警告文本" xfId="4296"/>
    <cellStyle name="计算" xfId="4297"/>
    <cellStyle name="货币[0]_BOM 3EC 37531 AAAA" xfId="4298"/>
    <cellStyle name="货币_BOM 3EC 37531 AAAA" xfId="4299"/>
    <cellStyle name="輔色1" xfId="4300"/>
    <cellStyle name="輔色2" xfId="4301"/>
    <cellStyle name="輔色3" xfId="4302"/>
    <cellStyle name="輔色4" xfId="4303"/>
    <cellStyle name="輔色5" xfId="4304"/>
    <cellStyle name="輔色6" xfId="4305"/>
    <cellStyle name="輸入" xfId="4306"/>
    <cellStyle name="輸出" xfId="4307"/>
    <cellStyle name="输入" xfId="4308"/>
    <cellStyle name="输出" xfId="4309"/>
    <cellStyle name="适中" xfId="4310"/>
    <cellStyle name="連結的儲存格" xfId="4311"/>
    <cellStyle name="链接单元格" xfId="431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Model!$AP$3</c:f>
              <c:strCache>
                <c:ptCount val="1"/>
                <c:pt idx="0">
                  <c:v>'21-31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(Model!$E$104,Model!$E$106,Model!$E$110,Model!$E$116,Model!$E$128,Model!$E$135)</c:f>
              <c:strCache>
                <c:ptCount val="6"/>
                <c:pt idx="0">
                  <c:v>Net Revenue</c:v>
                </c:pt>
                <c:pt idx="1">
                  <c:v>Gross Margin</c:v>
                </c:pt>
                <c:pt idx="2">
                  <c:v>EBITDA</c:v>
                </c:pt>
                <c:pt idx="3">
                  <c:v>EBIT</c:v>
                </c:pt>
                <c:pt idx="4">
                  <c:v>Net Income to Common</c:v>
                </c:pt>
                <c:pt idx="5">
                  <c:v>EPS to common</c:v>
                </c:pt>
              </c:strCache>
            </c:strRef>
          </c:cat>
          <c:val>
            <c:numRef>
              <c:f>(Model!$AP$104,Model!$AP$106,Model!$AP$110,Model!$AP$116,Model!$AP$128,Model!$AP$135)</c:f>
              <c:numCache>
                <c:formatCode>0.0%</c:formatCode>
                <c:ptCount val="6"/>
                <c:pt idx="0">
                  <c:v>7.1479182680065145E-2</c:v>
                </c:pt>
                <c:pt idx="1">
                  <c:v>8.7347940956924885E-2</c:v>
                </c:pt>
                <c:pt idx="2">
                  <c:v>9.2716366672999539E-2</c:v>
                </c:pt>
                <c:pt idx="3">
                  <c:v>0.11012097697019563</c:v>
                </c:pt>
                <c:pt idx="4">
                  <c:v>0.11638103118897258</c:v>
                </c:pt>
                <c:pt idx="5">
                  <c:v>0.15951831128021987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3-49FE-98AE-13B207C29A1C}"/>
            </c:ext>
          </c:extLst>
        </c:ser>
        <c:ser>
          <c:idx val="1"/>
          <c:order val="1"/>
          <c:tx>
            <c:strRef>
              <c:f>Model!$AQ$3</c:f>
              <c:strCache>
                <c:ptCount val="1"/>
                <c:pt idx="0">
                  <c:v>'12-21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(Model!$E$104,Model!$E$106,Model!$E$110,Model!$E$116,Model!$E$128,Model!$E$135)</c:f>
              <c:strCache>
                <c:ptCount val="6"/>
                <c:pt idx="0">
                  <c:v>Net Revenue</c:v>
                </c:pt>
                <c:pt idx="1">
                  <c:v>Gross Margin</c:v>
                </c:pt>
                <c:pt idx="2">
                  <c:v>EBITDA</c:v>
                </c:pt>
                <c:pt idx="3">
                  <c:v>EBIT</c:v>
                </c:pt>
                <c:pt idx="4">
                  <c:v>Net Income to Common</c:v>
                </c:pt>
                <c:pt idx="5">
                  <c:v>EPS to common</c:v>
                </c:pt>
              </c:strCache>
            </c:strRef>
          </c:cat>
          <c:val>
            <c:numRef>
              <c:f>(Model!$AQ$104,Model!$AQ$106,Model!$AQ$110,Model!$AQ$116,Model!$AQ$128,Model!$AQ$135)</c:f>
              <c:numCache>
                <c:formatCode>0.0%</c:formatCode>
                <c:ptCount val="6"/>
                <c:pt idx="0">
                  <c:v>0.14042850361178516</c:v>
                </c:pt>
                <c:pt idx="1">
                  <c:v>0.15255268634048536</c:v>
                </c:pt>
                <c:pt idx="2">
                  <c:v>0.17136043096275899</c:v>
                </c:pt>
                <c:pt idx="3">
                  <c:v>0.19115090343250696</c:v>
                </c:pt>
                <c:pt idx="4">
                  <c:v>0.29940395905247041</c:v>
                </c:pt>
                <c:pt idx="5">
                  <c:v>0.30035019501452265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3-49FE-98AE-13B207C29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908056"/>
        <c:axId val="970915272"/>
      </c:barChart>
      <c:catAx>
        <c:axId val="97090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915272"/>
        <c:crosses val="autoZero"/>
        <c:auto val="1"/>
        <c:lblAlgn val="ctr"/>
        <c:lblOffset val="100"/>
        <c:noMultiLvlLbl val="0"/>
      </c:catAx>
      <c:valAx>
        <c:axId val="97091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CAGR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90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174172</xdr:colOff>
      <xdr:row>113</xdr:row>
      <xdr:rowOff>119744</xdr:rowOff>
    </xdr:from>
    <xdr:to>
      <xdr:col>51</xdr:col>
      <xdr:colOff>478972</xdr:colOff>
      <xdr:row>128</xdr:row>
      <xdr:rowOff>87087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NSSTATS98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2.%20US%20Equity\3.%20Common%20Models\Watch%20list\EA%20C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1.%20Investment%20Process\Financial%20Models\Canada%20Common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Wealth%20Management\Investments\Research\Canadian%20Equity\Oil%20and%20Gas\Common%20Model%20-%20WI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Users\maksymom\AppData\Local\Capital%20IQ\Office%20Plug-in\Templates\Ownership\Public%20Ownershi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GRA"/>
      <sheetName val="REGR"/>
      <sheetName val="MARG"/>
      <sheetName val="ROE"/>
      <sheetName val="DATA"/>
      <sheetName val="SUM"/>
      <sheetName val="GROW"/>
      <sheetName val="CHT"/>
      <sheetName val="EST"/>
      <sheetName val="GRA2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TAM"/>
      <sheetName val="Financials"/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Capital IQ Lookups"/>
      <sheetName val="Operating Lease Expenses"/>
      <sheetName val="Debt"/>
      <sheetName val="WACC"/>
    </sheetNames>
    <sheetDataSet>
      <sheetData sheetId="0"/>
      <sheetData sheetId="1"/>
      <sheetData sheetId="2"/>
      <sheetData sheetId="3"/>
      <sheetData sheetId="4">
        <row r="1">
          <cell r="F1" t="str">
            <v>USD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60">
          <cell r="BS60" t="str">
            <v>IQT14352303</v>
          </cell>
          <cell r="CA60" t="str">
            <v>IQT14352303</v>
          </cell>
        </row>
        <row r="61">
          <cell r="BS61" t="str">
            <v>IQT14555649</v>
          </cell>
          <cell r="CA61" t="str">
            <v>IQT14555649</v>
          </cell>
        </row>
        <row r="62">
          <cell r="BS62" t="str">
            <v>IQT27436959</v>
          </cell>
          <cell r="CA62" t="str">
            <v>IQT27436959</v>
          </cell>
        </row>
        <row r="63">
          <cell r="BS63" t="str">
            <v>IQT38873049</v>
          </cell>
          <cell r="CA63" t="str">
            <v>IQT38873049</v>
          </cell>
        </row>
        <row r="64">
          <cell r="BS64" t="str">
            <v>IQT48704345</v>
          </cell>
          <cell r="CA64" t="str">
            <v>IQT48704345</v>
          </cell>
        </row>
        <row r="65">
          <cell r="BS65" t="str">
            <v>IQT573186502</v>
          </cell>
          <cell r="CA65" t="str">
            <v>IQT244596293</v>
          </cell>
        </row>
        <row r="66">
          <cell r="BS66" t="str">
            <v>IQT573186503</v>
          </cell>
          <cell r="CA66" t="str">
            <v>IQT672821198</v>
          </cell>
        </row>
        <row r="67">
          <cell r="BS67" t="str">
            <v>IQT573186504</v>
          </cell>
          <cell r="CA67" t="str">
            <v>IQT573186504</v>
          </cell>
        </row>
        <row r="68">
          <cell r="BS68" t="str">
            <v>IQT573186505</v>
          </cell>
          <cell r="CA68" t="str">
            <v>IQT573186505</v>
          </cell>
        </row>
        <row r="69">
          <cell r="BS69" t="str">
            <v>IQT573186506</v>
          </cell>
          <cell r="CA69" t="str">
            <v>IQT573186506</v>
          </cell>
        </row>
        <row r="70">
          <cell r="BS70" t="str">
            <v>IQT573186507</v>
          </cell>
          <cell r="CA70" t="str">
            <v>IQT573186507</v>
          </cell>
        </row>
        <row r="71">
          <cell r="BS71" t="str">
            <v>IQT573186508</v>
          </cell>
          <cell r="CA71" t="str">
            <v>IQT573186508</v>
          </cell>
        </row>
        <row r="72">
          <cell r="BS72" t="str">
            <v>IQT573186509</v>
          </cell>
          <cell r="CA72" t="str">
            <v>IQT573186509</v>
          </cell>
        </row>
        <row r="73">
          <cell r="BS73" t="str">
            <v>IQT573186510</v>
          </cell>
          <cell r="CA73" t="str">
            <v>IQT573186510</v>
          </cell>
        </row>
        <row r="74">
          <cell r="BS74" t="str">
            <v>IQT573186511</v>
          </cell>
          <cell r="CA74" t="str">
            <v>IQT573186511</v>
          </cell>
        </row>
        <row r="75">
          <cell r="BS75" t="str">
            <v>IQT573186512</v>
          </cell>
          <cell r="CA75" t="str">
            <v>IQT573186512</v>
          </cell>
        </row>
        <row r="76">
          <cell r="BS76" t="str">
            <v>IQT573186513</v>
          </cell>
          <cell r="CA76" t="str">
            <v>IQT573186513</v>
          </cell>
        </row>
        <row r="77">
          <cell r="BS77" t="str">
            <v>IQT573186514</v>
          </cell>
          <cell r="CA77" t="str">
            <v>IQT573186514</v>
          </cell>
        </row>
        <row r="78">
          <cell r="BS78" t="str">
            <v>IQT573186515</v>
          </cell>
          <cell r="CA78" t="str">
            <v>IQT573186515</v>
          </cell>
        </row>
        <row r="79">
          <cell r="BS79" t="str">
            <v>IQT573186516</v>
          </cell>
          <cell r="CA79" t="str">
            <v>IQT573186516</v>
          </cell>
        </row>
        <row r="80">
          <cell r="BS80" t="str">
            <v>IQT573186517</v>
          </cell>
          <cell r="CA80" t="str">
            <v>IQT573186517</v>
          </cell>
        </row>
        <row r="81">
          <cell r="BS81" t="str">
            <v>IQT573186518</v>
          </cell>
          <cell r="CA81" t="str">
            <v>IQT573186518</v>
          </cell>
        </row>
        <row r="82">
          <cell r="BS82" t="str">
            <v>IQT233595811</v>
          </cell>
          <cell r="CA82" t="str">
            <v>IQT233595811</v>
          </cell>
        </row>
        <row r="83">
          <cell r="BS83" t="str">
            <v>IQT573186519</v>
          </cell>
          <cell r="CA83" t="str">
            <v>IQT573186519</v>
          </cell>
        </row>
        <row r="84">
          <cell r="BS84" t="str">
            <v>IQT251938129</v>
          </cell>
          <cell r="CA84" t="str">
            <v>IQT251938129</v>
          </cell>
        </row>
        <row r="85">
          <cell r="BS85" t="str">
            <v>IQT573186520</v>
          </cell>
          <cell r="CA85" t="str">
            <v>IQT573186520</v>
          </cell>
        </row>
        <row r="86">
          <cell r="BS86" t="str">
            <v>IQT261391963</v>
          </cell>
          <cell r="CA86" t="str">
            <v>IQT261391963</v>
          </cell>
        </row>
        <row r="87">
          <cell r="BS87" t="str">
            <v>IQT573186521</v>
          </cell>
          <cell r="CA87" t="str">
            <v>IQT573186521</v>
          </cell>
        </row>
        <row r="88">
          <cell r="BS88" t="str">
            <v>IQT271972220</v>
          </cell>
          <cell r="CA88" t="str">
            <v>IQT271972220</v>
          </cell>
        </row>
        <row r="89">
          <cell r="BS89" t="str">
            <v>IQT573186522</v>
          </cell>
          <cell r="CA89" t="str">
            <v>IQT573186522</v>
          </cell>
        </row>
        <row r="90">
          <cell r="BS90" t="str">
            <v>IQT573186523</v>
          </cell>
          <cell r="CA90" t="str">
            <v>IQT573186523</v>
          </cell>
        </row>
        <row r="91">
          <cell r="BS91" t="str">
            <v>IQT289127113</v>
          </cell>
          <cell r="CA91" t="str">
            <v>IQT289127113</v>
          </cell>
        </row>
        <row r="93">
          <cell r="BS93" t="str">
            <v>IQT573186524</v>
          </cell>
          <cell r="CA93" t="str">
            <v>IQT573186524</v>
          </cell>
        </row>
        <row r="94">
          <cell r="BS94" t="str">
            <v>IQT573186525</v>
          </cell>
          <cell r="CA94" t="str">
            <v>IQT573186525</v>
          </cell>
        </row>
        <row r="95">
          <cell r="BS95" t="str">
            <v>IQT573186526</v>
          </cell>
          <cell r="CA95" t="str">
            <v>IQT573186526</v>
          </cell>
        </row>
        <row r="96">
          <cell r="BS96" t="str">
            <v>IQT573186527</v>
          </cell>
          <cell r="CA96" t="str">
            <v>IQT573186527</v>
          </cell>
        </row>
        <row r="97">
          <cell r="BS97" t="str">
            <v>IQT421814472</v>
          </cell>
          <cell r="CA97" t="str">
            <v>IQT421814472</v>
          </cell>
        </row>
        <row r="98">
          <cell r="BS98" t="str">
            <v>IQT573186528</v>
          </cell>
          <cell r="CA98" t="str">
            <v>IQT573186528</v>
          </cell>
        </row>
        <row r="99">
          <cell r="BS99" t="str">
            <v>IQT573186529</v>
          </cell>
          <cell r="CA99" t="str">
            <v>IQT573186529</v>
          </cell>
        </row>
        <row r="100">
          <cell r="BS100" t="str">
            <v>IQT570144610</v>
          </cell>
          <cell r="CA100" t="str">
            <v>IQT570144610</v>
          </cell>
        </row>
        <row r="101">
          <cell r="BS101" t="str">
            <v>IQT614561915</v>
          </cell>
          <cell r="CA101" t="str">
            <v>IQT614561915</v>
          </cell>
        </row>
        <row r="102">
          <cell r="BS102" t="str">
            <v>IQT647878606</v>
          </cell>
          <cell r="CA102" t="str">
            <v>IQT647878606</v>
          </cell>
        </row>
        <row r="103">
          <cell r="BS103">
            <v>0</v>
          </cell>
          <cell r="CA103">
            <v>0</v>
          </cell>
        </row>
        <row r="104">
          <cell r="BS104">
            <v>0</v>
          </cell>
          <cell r="CA104">
            <v>0</v>
          </cell>
        </row>
        <row r="105">
          <cell r="BS105">
            <v>0</v>
          </cell>
          <cell r="CA105">
            <v>0</v>
          </cell>
        </row>
        <row r="106">
          <cell r="BS106">
            <v>0</v>
          </cell>
          <cell r="CA106">
            <v>0</v>
          </cell>
        </row>
        <row r="107">
          <cell r="BS107">
            <v>0</v>
          </cell>
          <cell r="CA107">
            <v>0</v>
          </cell>
        </row>
        <row r="108">
          <cell r="BS108">
            <v>0</v>
          </cell>
          <cell r="CA108">
            <v>0</v>
          </cell>
        </row>
        <row r="109">
          <cell r="BS109">
            <v>0</v>
          </cell>
          <cell r="CA109">
            <v>0</v>
          </cell>
        </row>
        <row r="110">
          <cell r="BS110">
            <v>0</v>
          </cell>
          <cell r="CA110">
            <v>0</v>
          </cell>
        </row>
        <row r="169">
          <cell r="X1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s"/>
      <sheetName val="Model"/>
      <sheetName val="Initiatives"/>
      <sheetName val="Plants"/>
      <sheetName val="Ratios"/>
      <sheetName val="_CIQHiddenCacheSheet"/>
      <sheetName val="DCF"/>
      <sheetName val="Tearsheet"/>
      <sheetName val="Score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  <sheetName val="Title"/>
      <sheetName val="Prezi Stuff - 6"/>
      <sheetName val="Prezi Stuff - 5"/>
      <sheetName val="Prezi Stuff - 4"/>
      <sheetName val="Prezi Stuff - 3"/>
      <sheetName val="Prezi Stuff - 2"/>
      <sheetName val="Prezi Stuff"/>
      <sheetName val="Ratios &amp; Assumptions"/>
      <sheetName val="10YR AVGS"/>
      <sheetName val="DCF - Bull Case"/>
      <sheetName val="DCF - Bear Case"/>
      <sheetName val="DCF - Base Case"/>
      <sheetName val="Income Statement"/>
      <sheetName val="Balance Sheet"/>
      <sheetName val="Cash Flow"/>
      <sheetName val="Segments"/>
      <sheetName val="Company Specif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BS13" t="str">
            <v>IQT561008196</v>
          </cell>
        </row>
        <row r="170">
          <cell r="X170">
            <v>6.6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IQT561008196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S13" t="str">
            <v>IQT60515336</v>
          </cell>
        </row>
      </sheetData>
      <sheetData sheetId="31">
        <row r="13">
          <cell r="BS13" t="str">
            <v>IQT60515336</v>
          </cell>
        </row>
      </sheetData>
      <sheetData sheetId="32">
        <row r="13">
          <cell r="BS13" t="str">
            <v>IQT60515336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174">
          <cell r="X174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nership"/>
      <sheetName val="World Map"/>
      <sheetName val="US Map"/>
      <sheetName val="Canada Map"/>
      <sheetName val="World Map Data Table"/>
      <sheetName val="US Map Data Table"/>
      <sheetName val="Canada Map Data Table"/>
      <sheetName val="Trend Charts"/>
      <sheetName val="Tearsheet"/>
      <sheetName val="Summary Charts"/>
    </sheetNames>
    <sheetDataSet>
      <sheetData sheetId="0">
        <row r="13">
          <cell r="A13" t="str">
            <v>IQ403413</v>
          </cell>
          <cell r="B13" t="str">
            <v>BlackRock, Inc.</v>
          </cell>
          <cell r="J13">
            <v>42887</v>
          </cell>
          <cell r="K13">
            <v>1725256860</v>
          </cell>
          <cell r="M13">
            <v>930879020</v>
          </cell>
          <cell r="O13">
            <v>1725256860</v>
          </cell>
        </row>
        <row r="14">
          <cell r="A14" t="str">
            <v>IQ109783</v>
          </cell>
          <cell r="B14" t="str">
            <v>Capital Research and Management Company</v>
          </cell>
          <cell r="J14">
            <v>42887</v>
          </cell>
          <cell r="K14">
            <v>799776668</v>
          </cell>
          <cell r="M14">
            <v>680065948</v>
          </cell>
          <cell r="O14">
            <v>799776668</v>
          </cell>
        </row>
        <row r="15">
          <cell r="A15" t="str">
            <v>IQ11940612</v>
          </cell>
          <cell r="B15" t="str">
            <v>Legal &amp; General Investment Management Limited</v>
          </cell>
          <cell r="J15">
            <v>42887</v>
          </cell>
          <cell r="K15">
            <v>758987821</v>
          </cell>
          <cell r="M15">
            <v>991206514</v>
          </cell>
          <cell r="O15">
            <v>758987821</v>
          </cell>
        </row>
        <row r="16">
          <cell r="A16" t="str">
            <v>IQ417222</v>
          </cell>
          <cell r="B16" t="str">
            <v>The Vanguard Group, Inc.</v>
          </cell>
          <cell r="J16">
            <v>42887</v>
          </cell>
          <cell r="K16">
            <v>746635916</v>
          </cell>
          <cell r="M16">
            <v>704592100</v>
          </cell>
          <cell r="O16">
            <v>746635916</v>
          </cell>
        </row>
        <row r="17">
          <cell r="A17" t="str">
            <v>IQ27082288</v>
          </cell>
          <cell r="B17" t="str">
            <v>UBS Asset Management</v>
          </cell>
          <cell r="J17">
            <v>42887</v>
          </cell>
          <cell r="K17">
            <v>722203258</v>
          </cell>
          <cell r="M17">
            <v>669938183</v>
          </cell>
          <cell r="O17">
            <v>722203258</v>
          </cell>
        </row>
        <row r="18">
          <cell r="A18" t="str">
            <v>IQ823170</v>
          </cell>
          <cell r="B18" t="str">
            <v>State Street Global Advisors, Inc.</v>
          </cell>
          <cell r="J18">
            <v>42887</v>
          </cell>
          <cell r="K18">
            <v>578794797</v>
          </cell>
          <cell r="M18">
            <v>598434881</v>
          </cell>
          <cell r="O18">
            <v>578794797</v>
          </cell>
        </row>
        <row r="19">
          <cell r="A19" t="str">
            <v>IQ27081864</v>
          </cell>
          <cell r="B19" t="str">
            <v>Norges Bank Investment Management</v>
          </cell>
          <cell r="J19">
            <v>42887</v>
          </cell>
          <cell r="K19">
            <v>570185646</v>
          </cell>
          <cell r="M19">
            <v>589377118</v>
          </cell>
          <cell r="O19">
            <v>570185646</v>
          </cell>
        </row>
        <row r="20">
          <cell r="A20" t="str">
            <v>IQ28703</v>
          </cell>
          <cell r="B20" t="str">
            <v>Franklin Resources, Inc.</v>
          </cell>
          <cell r="J20">
            <v>42887</v>
          </cell>
          <cell r="K20">
            <v>550240560</v>
          </cell>
          <cell r="M20">
            <v>538352205</v>
          </cell>
          <cell r="O20">
            <v>550240560</v>
          </cell>
        </row>
        <row r="21">
          <cell r="A21" t="str">
            <v>IQ4841023</v>
          </cell>
          <cell r="B21" t="str">
            <v>BNY Mellon Asset Management</v>
          </cell>
          <cell r="J21">
            <v>42887</v>
          </cell>
          <cell r="K21">
            <v>504249012</v>
          </cell>
          <cell r="M21">
            <v>633072444</v>
          </cell>
          <cell r="O21">
            <v>504249012</v>
          </cell>
        </row>
        <row r="22">
          <cell r="A22" t="str">
            <v>IQ137703</v>
          </cell>
          <cell r="B22" t="str">
            <v>Aberdeen Asset Management PLC</v>
          </cell>
          <cell r="J22">
            <v>42887</v>
          </cell>
          <cell r="K22">
            <v>501819416</v>
          </cell>
          <cell r="M22">
            <v>506314361</v>
          </cell>
          <cell r="O22">
            <v>501819416</v>
          </cell>
        </row>
        <row r="23">
          <cell r="A23" t="str">
            <v>IQ45276676</v>
          </cell>
          <cell r="B23" t="str">
            <v>Morgan Stanley, Investment Banking and Brokerage Investments</v>
          </cell>
          <cell r="J23">
            <v>42887</v>
          </cell>
          <cell r="K23">
            <v>415768533</v>
          </cell>
          <cell r="M23">
            <v>423200650</v>
          </cell>
          <cell r="O23">
            <v>415768533</v>
          </cell>
        </row>
        <row r="24">
          <cell r="A24" t="str">
            <v>IQ5928912</v>
          </cell>
          <cell r="B24" t="str">
            <v>Standard Life Investments Limited</v>
          </cell>
          <cell r="J24">
            <v>42887</v>
          </cell>
          <cell r="K24">
            <v>372734806</v>
          </cell>
          <cell r="M24">
            <v>385342872</v>
          </cell>
          <cell r="O24">
            <v>372734806</v>
          </cell>
        </row>
        <row r="25">
          <cell r="A25" t="str">
            <v>IQ23217</v>
          </cell>
          <cell r="B25" t="str">
            <v>T. Rowe Price Group, Inc.</v>
          </cell>
          <cell r="J25">
            <v>42887</v>
          </cell>
          <cell r="K25">
            <v>366121919</v>
          </cell>
          <cell r="M25">
            <v>365473195</v>
          </cell>
          <cell r="O25">
            <v>366121919</v>
          </cell>
        </row>
        <row r="26">
          <cell r="A26" t="str">
            <v>IQ12221461</v>
          </cell>
          <cell r="B26" t="str">
            <v>Schroder Investment Management Limited</v>
          </cell>
          <cell r="J26">
            <v>42887</v>
          </cell>
          <cell r="K26">
            <v>349998344</v>
          </cell>
          <cell r="M26">
            <v>353330162</v>
          </cell>
          <cell r="O26">
            <v>349998344</v>
          </cell>
        </row>
        <row r="27">
          <cell r="A27" t="str">
            <v>IQ383724</v>
          </cell>
          <cell r="B27" t="str">
            <v>Federated Investors, Inc.</v>
          </cell>
          <cell r="J27">
            <v>42887</v>
          </cell>
          <cell r="K27">
            <v>341309427</v>
          </cell>
          <cell r="M27">
            <v>341309427</v>
          </cell>
          <cell r="O27">
            <v>341309427</v>
          </cell>
        </row>
        <row r="28">
          <cell r="A28" t="str">
            <v>IQ6489375</v>
          </cell>
          <cell r="B28" t="str">
            <v>HSBC Global Asset Management (UK) Limited</v>
          </cell>
          <cell r="J28">
            <v>42887</v>
          </cell>
          <cell r="K28">
            <v>318534966</v>
          </cell>
          <cell r="M28">
            <v>303765909</v>
          </cell>
          <cell r="O28">
            <v>318534966</v>
          </cell>
        </row>
        <row r="29">
          <cell r="A29" t="str">
            <v>IQ279974139</v>
          </cell>
          <cell r="B29" t="str">
            <v>JPMorgan Chase &amp; Co, Brokerage and Securities Investments</v>
          </cell>
          <cell r="J29">
            <v>42887</v>
          </cell>
          <cell r="K29">
            <v>305930581</v>
          </cell>
          <cell r="M29">
            <v>373496153</v>
          </cell>
          <cell r="O29">
            <v>305930581</v>
          </cell>
        </row>
        <row r="30">
          <cell r="A30" t="str">
            <v>IQ1925133</v>
          </cell>
          <cell r="B30" t="str">
            <v>J.P. Morgan Asset Management, Inc.</v>
          </cell>
          <cell r="J30">
            <v>42887</v>
          </cell>
          <cell r="K30">
            <v>291257490</v>
          </cell>
          <cell r="M30">
            <v>305510870</v>
          </cell>
          <cell r="O30">
            <v>291257490</v>
          </cell>
        </row>
        <row r="31">
          <cell r="A31" t="str">
            <v>IQ4806696</v>
          </cell>
          <cell r="B31" t="str">
            <v>Aviva Investors Global Services Limited</v>
          </cell>
          <cell r="J31">
            <v>42887</v>
          </cell>
          <cell r="K31">
            <v>276033208</v>
          </cell>
          <cell r="M31">
            <v>277271169</v>
          </cell>
          <cell r="O31">
            <v>276033208</v>
          </cell>
        </row>
        <row r="32">
          <cell r="A32" t="str">
            <v>IQ4509118</v>
          </cell>
          <cell r="B32" t="str">
            <v>Fisher Investments</v>
          </cell>
          <cell r="J32">
            <v>42916</v>
          </cell>
          <cell r="K32">
            <v>264021362</v>
          </cell>
          <cell r="M32">
            <v>151204302</v>
          </cell>
          <cell r="O32">
            <v>264021362</v>
          </cell>
        </row>
        <row r="33">
          <cell r="A33" t="str">
            <v>IQ384779</v>
          </cell>
          <cell r="B33" t="str">
            <v>Invesco Ltd.</v>
          </cell>
          <cell r="J33">
            <v>42887</v>
          </cell>
          <cell r="K33">
            <v>257994770</v>
          </cell>
          <cell r="M33">
            <v>255926069</v>
          </cell>
          <cell r="O33">
            <v>257994770</v>
          </cell>
        </row>
        <row r="34">
          <cell r="A34" t="str">
            <v>IQ3182643</v>
          </cell>
          <cell r="B34" t="str">
            <v>Dimensional Fund Advisors LP</v>
          </cell>
          <cell r="J34">
            <v>42887</v>
          </cell>
          <cell r="K34">
            <v>246420844</v>
          </cell>
          <cell r="M34">
            <v>250918934</v>
          </cell>
          <cell r="O34">
            <v>246420844</v>
          </cell>
        </row>
        <row r="35">
          <cell r="A35" t="str">
            <v>IQ26814459</v>
          </cell>
          <cell r="B35" t="str">
            <v>Causeway Capital Management LLC</v>
          </cell>
          <cell r="J35">
            <v>42887</v>
          </cell>
          <cell r="K35">
            <v>215819746</v>
          </cell>
          <cell r="M35">
            <v>210055526</v>
          </cell>
          <cell r="O35">
            <v>215819746</v>
          </cell>
        </row>
        <row r="36">
          <cell r="A36" t="str">
            <v>IQ5557540</v>
          </cell>
          <cell r="B36" t="str">
            <v>M&amp;G Investment Management Limited</v>
          </cell>
          <cell r="J36">
            <v>42887</v>
          </cell>
          <cell r="K36">
            <v>202403138</v>
          </cell>
          <cell r="M36">
            <v>204314132</v>
          </cell>
          <cell r="O36">
            <v>202403138</v>
          </cell>
        </row>
        <row r="37">
          <cell r="A37" t="str">
            <v>IQ246790716</v>
          </cell>
          <cell r="B37" t="str">
            <v>Vodafone Group plc, Share Incentive Plan</v>
          </cell>
          <cell r="J37">
            <v>42887</v>
          </cell>
          <cell r="K37">
            <v>202386586</v>
          </cell>
          <cell r="M37">
            <v>205057916</v>
          </cell>
          <cell r="O37">
            <v>202386586</v>
          </cell>
        </row>
        <row r="38">
          <cell r="A38" t="str">
            <v>IQ4629637</v>
          </cell>
          <cell r="B38" t="str">
            <v>Northern Trust Global Investments</v>
          </cell>
          <cell r="J38">
            <v>42887</v>
          </cell>
          <cell r="K38">
            <v>197482917</v>
          </cell>
          <cell r="M38">
            <v>192234454</v>
          </cell>
          <cell r="O38">
            <v>197482917</v>
          </cell>
        </row>
        <row r="39">
          <cell r="A39" t="str">
            <v>IQ28461984</v>
          </cell>
          <cell r="B39" t="str">
            <v>Government Of People's Republic Of China</v>
          </cell>
          <cell r="J39">
            <v>42887</v>
          </cell>
          <cell r="K39">
            <v>185468890</v>
          </cell>
          <cell r="M39">
            <v>189172277</v>
          </cell>
          <cell r="O39">
            <v>185468890</v>
          </cell>
        </row>
        <row r="40">
          <cell r="A40" t="str">
            <v>IQ51450685</v>
          </cell>
          <cell r="B40" t="str">
            <v>Credit Suisse, Investment Banking and Securities Investments</v>
          </cell>
          <cell r="J40">
            <v>42887</v>
          </cell>
          <cell r="K40">
            <v>176978393</v>
          </cell>
          <cell r="M40">
            <v>169559463</v>
          </cell>
          <cell r="O40">
            <v>176978393</v>
          </cell>
        </row>
        <row r="41">
          <cell r="A41" t="str">
            <v>IQ41542881</v>
          </cell>
          <cell r="B41" t="str">
            <v>Coöperatieve Centrale Raiffeisen-Boerenleenbank B.A., Asset Management Arm</v>
          </cell>
          <cell r="J41">
            <v>42887</v>
          </cell>
          <cell r="K41">
            <v>176404864</v>
          </cell>
          <cell r="M41">
            <v>124670247</v>
          </cell>
          <cell r="O41">
            <v>176404864</v>
          </cell>
        </row>
        <row r="42">
          <cell r="A42" t="str">
            <v>IQ21922514</v>
          </cell>
          <cell r="B42" t="str">
            <v>Kuwait Investment Authority</v>
          </cell>
          <cell r="J42">
            <v>42887</v>
          </cell>
          <cell r="K42">
            <v>171829911</v>
          </cell>
          <cell r="M42">
            <v>155674776</v>
          </cell>
          <cell r="O42">
            <v>171829911</v>
          </cell>
        </row>
        <row r="43">
          <cell r="A43" t="str">
            <v>IQ5114011</v>
          </cell>
          <cell r="B43" t="str">
            <v>Hotchkis and Wiley Capital Management, LLC</v>
          </cell>
          <cell r="J43">
            <v>42886</v>
          </cell>
          <cell r="K43">
            <v>169785000</v>
          </cell>
          <cell r="M43">
            <v>169784418</v>
          </cell>
          <cell r="O43">
            <v>169785000</v>
          </cell>
        </row>
        <row r="44">
          <cell r="A44" t="str">
            <v>IQ20702899</v>
          </cell>
          <cell r="B44" t="str">
            <v>Majedie Asset Management Limited</v>
          </cell>
          <cell r="J44">
            <v>42887</v>
          </cell>
          <cell r="K44">
            <v>161360807</v>
          </cell>
          <cell r="M44">
            <v>132730146</v>
          </cell>
          <cell r="O44">
            <v>161360807</v>
          </cell>
        </row>
        <row r="45">
          <cell r="A45" t="str">
            <v>IQ3796741</v>
          </cell>
          <cell r="B45" t="str">
            <v>Amundi Asset Management</v>
          </cell>
          <cell r="J45">
            <v>42887</v>
          </cell>
          <cell r="K45">
            <v>153962552</v>
          </cell>
          <cell r="M45">
            <v>127127671</v>
          </cell>
          <cell r="O45">
            <v>153962552</v>
          </cell>
        </row>
        <row r="46">
          <cell r="A46" t="str">
            <v>IQ10198746</v>
          </cell>
          <cell r="B46" t="str">
            <v>Epoch Investment Partners, Inc.</v>
          </cell>
          <cell r="J46">
            <v>42887</v>
          </cell>
          <cell r="K46">
            <v>149994016</v>
          </cell>
          <cell r="M46">
            <v>127279932</v>
          </cell>
          <cell r="O46">
            <v>149994016</v>
          </cell>
        </row>
        <row r="47">
          <cell r="A47" t="str">
            <v>IQ868981</v>
          </cell>
          <cell r="B47" t="str">
            <v>Royal London Asset Management Limited</v>
          </cell>
          <cell r="J47">
            <v>42887</v>
          </cell>
          <cell r="K47">
            <v>138424422</v>
          </cell>
          <cell r="M47">
            <v>136361342</v>
          </cell>
          <cell r="O47">
            <v>138424422</v>
          </cell>
        </row>
        <row r="48">
          <cell r="A48" t="str">
            <v>IQ37412913</v>
          </cell>
          <cell r="B48" t="str">
            <v>Charles Stanley &amp; Co. Ltd, Asset Management Arm</v>
          </cell>
          <cell r="J48">
            <v>42887</v>
          </cell>
          <cell r="K48">
            <v>133649276</v>
          </cell>
          <cell r="M48">
            <v>136165697</v>
          </cell>
          <cell r="O48">
            <v>133649276</v>
          </cell>
        </row>
        <row r="49">
          <cell r="A49" t="str">
            <v>IQ35483504</v>
          </cell>
          <cell r="B49" t="str">
            <v>DZ Bank AG, Asset Management Arm</v>
          </cell>
          <cell r="J49">
            <v>42887</v>
          </cell>
          <cell r="K49">
            <v>132766174</v>
          </cell>
          <cell r="M49">
            <v>147113220</v>
          </cell>
          <cell r="O49">
            <v>132766174</v>
          </cell>
        </row>
        <row r="50">
          <cell r="A50" t="str">
            <v>IQ31211063</v>
          </cell>
          <cell r="B50" t="str">
            <v>Deutsche Bank, Private Banking and Investment Banking Investments</v>
          </cell>
          <cell r="J50">
            <v>42887</v>
          </cell>
          <cell r="K50">
            <v>132294128</v>
          </cell>
          <cell r="M50">
            <v>66053078</v>
          </cell>
          <cell r="O50">
            <v>132294128</v>
          </cell>
        </row>
        <row r="51">
          <cell r="A51" t="str">
            <v>IQ410077483</v>
          </cell>
          <cell r="B51" t="str">
            <v>FMR LLC</v>
          </cell>
          <cell r="J51">
            <v>42887</v>
          </cell>
          <cell r="K51">
            <v>131937130</v>
          </cell>
          <cell r="M51">
            <v>130452828</v>
          </cell>
          <cell r="O51">
            <v>131937130</v>
          </cell>
        </row>
        <row r="52">
          <cell r="A52" t="str">
            <v>IQ222921084</v>
          </cell>
          <cell r="B52" t="str">
            <v>USS Investment Management Limited</v>
          </cell>
          <cell r="J52">
            <v>42887</v>
          </cell>
          <cell r="K52">
            <v>131710658</v>
          </cell>
          <cell r="M52">
            <v>131710658</v>
          </cell>
          <cell r="O52">
            <v>131710658</v>
          </cell>
        </row>
        <row r="53">
          <cell r="A53" t="str">
            <v>IQ28827734</v>
          </cell>
          <cell r="B53" t="str">
            <v>J O Hambro Capital Management Limited</v>
          </cell>
          <cell r="J53">
            <v>42887</v>
          </cell>
          <cell r="K53">
            <v>127952888</v>
          </cell>
          <cell r="M53">
            <v>89691787</v>
          </cell>
          <cell r="O53">
            <v>127952888</v>
          </cell>
        </row>
        <row r="54">
          <cell r="A54" t="str">
            <v>IQ27289249</v>
          </cell>
          <cell r="B54" t="str">
            <v>Hargreaves Lansdown Asset Management Limited</v>
          </cell>
          <cell r="J54">
            <v>42887</v>
          </cell>
          <cell r="K54">
            <v>120538846</v>
          </cell>
          <cell r="M54">
            <v>128023249</v>
          </cell>
          <cell r="O54">
            <v>120538846</v>
          </cell>
        </row>
        <row r="55">
          <cell r="A55" t="str">
            <v>IQ868792</v>
          </cell>
          <cell r="B55" t="str">
            <v>Massachusetts Financial Services Company</v>
          </cell>
          <cell r="J55">
            <v>42887</v>
          </cell>
          <cell r="K55">
            <v>113050412</v>
          </cell>
          <cell r="M55">
            <v>129102881</v>
          </cell>
          <cell r="O55">
            <v>113050412</v>
          </cell>
        </row>
        <row r="56">
          <cell r="A56" t="str">
            <v>IQ246748</v>
          </cell>
          <cell r="B56" t="str">
            <v>Teachers Insurance and Annuity Association of America - College Retirement Equities Fund</v>
          </cell>
          <cell r="J56">
            <v>42887</v>
          </cell>
          <cell r="K56">
            <v>111092885</v>
          </cell>
          <cell r="M56">
            <v>105677639</v>
          </cell>
          <cell r="O56">
            <v>111092885</v>
          </cell>
        </row>
        <row r="57">
          <cell r="A57" t="str">
            <v>IQ224620639</v>
          </cell>
          <cell r="B57" t="str">
            <v>Artemis Investment Management LLP</v>
          </cell>
          <cell r="J57">
            <v>42887</v>
          </cell>
          <cell r="K57">
            <v>108657905</v>
          </cell>
          <cell r="M57">
            <v>114562911</v>
          </cell>
          <cell r="O57">
            <v>108657905</v>
          </cell>
        </row>
        <row r="58">
          <cell r="A58" t="str">
            <v>IQ24811017</v>
          </cell>
          <cell r="B58" t="str">
            <v>Henderson Global Investors Limited</v>
          </cell>
          <cell r="J58">
            <v>42887</v>
          </cell>
          <cell r="K58">
            <v>107363878</v>
          </cell>
          <cell r="M58">
            <v>91855137</v>
          </cell>
          <cell r="O58">
            <v>107363878</v>
          </cell>
        </row>
        <row r="59">
          <cell r="A59" t="str">
            <v>IQ41575952</v>
          </cell>
          <cell r="B59" t="str">
            <v>Swiss National Bank, Asset Management Arm</v>
          </cell>
          <cell r="J59">
            <v>42887</v>
          </cell>
          <cell r="K59">
            <v>104112651</v>
          </cell>
          <cell r="M59">
            <v>111362765</v>
          </cell>
          <cell r="O59">
            <v>104112651</v>
          </cell>
        </row>
        <row r="60">
          <cell r="A60" t="str">
            <v>IQ22797693</v>
          </cell>
          <cell r="B60" t="str">
            <v>Allianz Asset Management AG</v>
          </cell>
          <cell r="J60">
            <v>42887</v>
          </cell>
          <cell r="K60">
            <v>102880950</v>
          </cell>
          <cell r="M60">
            <v>112718893</v>
          </cell>
          <cell r="O60">
            <v>102880950</v>
          </cell>
        </row>
        <row r="61">
          <cell r="A61" t="str">
            <v>IQ40208978</v>
          </cell>
          <cell r="B61" t="str">
            <v>Brewin Dolphin Limited</v>
          </cell>
          <cell r="J61">
            <v>42887</v>
          </cell>
          <cell r="K61">
            <v>102566536</v>
          </cell>
          <cell r="M61">
            <v>101320482</v>
          </cell>
          <cell r="O61">
            <v>102566536</v>
          </cell>
        </row>
        <row r="62">
          <cell r="A62" t="str">
            <v>IQ997536</v>
          </cell>
          <cell r="B62" t="str">
            <v>AXA Investment Managers S.A.</v>
          </cell>
          <cell r="J62">
            <v>42887</v>
          </cell>
          <cell r="K62">
            <v>101798748</v>
          </cell>
          <cell r="M62">
            <v>129505375</v>
          </cell>
          <cell r="O62">
            <v>101798748</v>
          </cell>
        </row>
        <row r="63">
          <cell r="A63" t="str">
            <v>IQ5074057</v>
          </cell>
          <cell r="B63" t="str">
            <v>Rathbone Investment Management Limited</v>
          </cell>
          <cell r="J63">
            <v>42887</v>
          </cell>
          <cell r="K63">
            <v>101315049</v>
          </cell>
          <cell r="M63">
            <v>103192614</v>
          </cell>
          <cell r="O63">
            <v>101315049</v>
          </cell>
        </row>
        <row r="64">
          <cell r="A64" t="str">
            <v>IQ134268671</v>
          </cell>
          <cell r="B64" t="str">
            <v>Societe Generale Group, Banking Investments</v>
          </cell>
          <cell r="J64">
            <v>42887</v>
          </cell>
          <cell r="K64">
            <v>98127459</v>
          </cell>
          <cell r="M64">
            <v>77667363</v>
          </cell>
          <cell r="O64">
            <v>98127459</v>
          </cell>
        </row>
        <row r="65">
          <cell r="A65" t="str">
            <v>IQ661650</v>
          </cell>
          <cell r="B65" t="str">
            <v>OppenheimerFunds, Inc.</v>
          </cell>
          <cell r="J65">
            <v>42887</v>
          </cell>
          <cell r="K65">
            <v>95441607</v>
          </cell>
          <cell r="M65">
            <v>98677677</v>
          </cell>
          <cell r="O65">
            <v>95441607</v>
          </cell>
        </row>
        <row r="66">
          <cell r="A66" t="str">
            <v>IQ5455123</v>
          </cell>
          <cell r="B66" t="str">
            <v>Investec Wealth &amp; Investment Limited</v>
          </cell>
          <cell r="J66">
            <v>42887</v>
          </cell>
          <cell r="K66">
            <v>94585076</v>
          </cell>
          <cell r="M66">
            <v>103240698</v>
          </cell>
          <cell r="O66">
            <v>94585076</v>
          </cell>
        </row>
        <row r="67">
          <cell r="A67" t="str">
            <v>IQ27771658</v>
          </cell>
          <cell r="B67" t="str">
            <v>Santander Asset Management, S.A., S.G.I.I.C.</v>
          </cell>
          <cell r="J67">
            <v>42916</v>
          </cell>
          <cell r="K67">
            <v>89340177</v>
          </cell>
          <cell r="M67">
            <v>50342773</v>
          </cell>
          <cell r="O67">
            <v>89340177</v>
          </cell>
        </row>
        <row r="68">
          <cell r="A68" t="str">
            <v>IQ60503615</v>
          </cell>
          <cell r="B68" t="str">
            <v>Deutsche Asset &amp; Wealth Management</v>
          </cell>
          <cell r="J68">
            <v>42887</v>
          </cell>
          <cell r="K68">
            <v>87187626</v>
          </cell>
          <cell r="M68">
            <v>125785914</v>
          </cell>
          <cell r="O68">
            <v>87187626</v>
          </cell>
        </row>
        <row r="69">
          <cell r="A69" t="str">
            <v>IQ3599336</v>
          </cell>
          <cell r="B69" t="str">
            <v>Pzena Investment Management, Inc</v>
          </cell>
          <cell r="J69">
            <v>42887</v>
          </cell>
          <cell r="K69">
            <v>80786776</v>
          </cell>
          <cell r="M69">
            <v>77470320</v>
          </cell>
          <cell r="O69">
            <v>80786776</v>
          </cell>
        </row>
        <row r="70">
          <cell r="A70" t="str">
            <v>IQ660915</v>
          </cell>
          <cell r="B70" t="str">
            <v>Wellcome Trust, Investment Division</v>
          </cell>
          <cell r="J70">
            <v>42887</v>
          </cell>
          <cell r="K70">
            <v>80000000</v>
          </cell>
          <cell r="M70">
            <v>80000000</v>
          </cell>
          <cell r="O70">
            <v>80000000</v>
          </cell>
        </row>
        <row r="71">
          <cell r="A71" t="str">
            <v>IQ280208182</v>
          </cell>
          <cell r="B71" t="str">
            <v>Wells Fargo &amp; Company, Securities and Brokerage Investments</v>
          </cell>
          <cell r="J71">
            <v>42825</v>
          </cell>
          <cell r="K71">
            <v>78695970</v>
          </cell>
          <cell r="M71">
            <v>78695970</v>
          </cell>
          <cell r="O71">
            <v>78695970</v>
          </cell>
        </row>
        <row r="72">
          <cell r="A72" t="str">
            <v>IQ796830</v>
          </cell>
          <cell r="B72" t="str">
            <v>GIC Pte. Ltd.</v>
          </cell>
          <cell r="J72">
            <v>42887</v>
          </cell>
          <cell r="K72">
            <v>77758423</v>
          </cell>
          <cell r="M72">
            <v>81668287</v>
          </cell>
          <cell r="O72">
            <v>77758423</v>
          </cell>
        </row>
        <row r="73">
          <cell r="A73" t="str">
            <v>IQ54496609</v>
          </cell>
          <cell r="B73" t="str">
            <v>Commerzbank AG, Asset Management Arm</v>
          </cell>
          <cell r="J73">
            <v>42887</v>
          </cell>
          <cell r="K73">
            <v>77437950</v>
          </cell>
          <cell r="M73">
            <v>63311909</v>
          </cell>
          <cell r="O73">
            <v>77437950</v>
          </cell>
        </row>
        <row r="74">
          <cell r="A74" t="str">
            <v>IQ45466394</v>
          </cell>
          <cell r="B74" t="str">
            <v>BNP Paribas, Private &amp; Investment Banking Investments</v>
          </cell>
          <cell r="J74">
            <v>42887</v>
          </cell>
          <cell r="K74">
            <v>76203450</v>
          </cell>
          <cell r="M74">
            <v>130571237</v>
          </cell>
          <cell r="O74">
            <v>76203450</v>
          </cell>
        </row>
        <row r="75">
          <cell r="A75" t="str">
            <v>IQ4792614</v>
          </cell>
          <cell r="B75" t="str">
            <v>Thornburg Investment Management, Inc.</v>
          </cell>
          <cell r="J75">
            <v>42887</v>
          </cell>
          <cell r="K75">
            <v>75109324</v>
          </cell>
          <cell r="M75">
            <v>75109324</v>
          </cell>
          <cell r="O75">
            <v>75109324</v>
          </cell>
        </row>
        <row r="76">
          <cell r="A76" t="str">
            <v>IQ5449290</v>
          </cell>
          <cell r="B76" t="str">
            <v>Ignis Investment Services Limited</v>
          </cell>
          <cell r="J76">
            <v>42887</v>
          </cell>
          <cell r="K76">
            <v>72450004</v>
          </cell>
          <cell r="M76">
            <v>72450004</v>
          </cell>
          <cell r="O76">
            <v>72450004</v>
          </cell>
        </row>
        <row r="77">
          <cell r="A77" t="str">
            <v>IQ24886433</v>
          </cell>
          <cell r="B77" t="str">
            <v>Raymond James Financial Inc., Asset Management Arm</v>
          </cell>
          <cell r="J77">
            <v>42825</v>
          </cell>
          <cell r="K77">
            <v>68615130</v>
          </cell>
          <cell r="M77">
            <v>68615130</v>
          </cell>
          <cell r="O77">
            <v>68615130</v>
          </cell>
        </row>
        <row r="78">
          <cell r="A78" t="str">
            <v>IQ20405404</v>
          </cell>
          <cell r="B78" t="str">
            <v>Kames Capital plc</v>
          </cell>
          <cell r="J78">
            <v>42887</v>
          </cell>
          <cell r="K78">
            <v>67218723</v>
          </cell>
          <cell r="M78">
            <v>70188737</v>
          </cell>
          <cell r="O78">
            <v>67218723</v>
          </cell>
        </row>
        <row r="79">
          <cell r="A79" t="str">
            <v>IQ35159421</v>
          </cell>
          <cell r="B79" t="str">
            <v>Merrill Lynch &amp; Co. Inc., Banking Investments</v>
          </cell>
          <cell r="J79">
            <v>42887</v>
          </cell>
          <cell r="K79">
            <v>67201411</v>
          </cell>
          <cell r="M79">
            <v>45091469</v>
          </cell>
          <cell r="O79">
            <v>67201411</v>
          </cell>
        </row>
        <row r="80">
          <cell r="A80" t="str">
            <v>IQ5068102</v>
          </cell>
          <cell r="B80" t="str">
            <v>Altrinsic Global Advisors, LLC</v>
          </cell>
          <cell r="J80">
            <v>42825</v>
          </cell>
          <cell r="K80">
            <v>66730530</v>
          </cell>
          <cell r="M80">
            <v>66392180</v>
          </cell>
          <cell r="O80">
            <v>66730530</v>
          </cell>
        </row>
        <row r="81">
          <cell r="A81" t="str">
            <v>IQ20726731</v>
          </cell>
          <cell r="B81" t="str">
            <v>Old Mutual Global Investors</v>
          </cell>
          <cell r="J81">
            <v>42887</v>
          </cell>
          <cell r="K81">
            <v>66311654</v>
          </cell>
          <cell r="M81">
            <v>67280005</v>
          </cell>
          <cell r="O81">
            <v>66311654</v>
          </cell>
        </row>
        <row r="82">
          <cell r="A82" t="str">
            <v>IQ4853228</v>
          </cell>
          <cell r="B82" t="str">
            <v>Sound Shore Management, Inc.</v>
          </cell>
          <cell r="J82">
            <v>42825</v>
          </cell>
          <cell r="K82">
            <v>66206810</v>
          </cell>
          <cell r="M82">
            <v>66206810</v>
          </cell>
          <cell r="O82">
            <v>66206810</v>
          </cell>
        </row>
        <row r="83">
          <cell r="A83" t="str">
            <v>IQ45511281</v>
          </cell>
          <cell r="B83" t="str">
            <v>Sumitomo Mitsui Financial Group Inc., Asset Management Arm</v>
          </cell>
          <cell r="J83">
            <v>42887</v>
          </cell>
          <cell r="K83">
            <v>66053579</v>
          </cell>
          <cell r="M83">
            <v>67978472</v>
          </cell>
          <cell r="O83">
            <v>66053579</v>
          </cell>
        </row>
        <row r="84">
          <cell r="A84" t="str">
            <v>IQ39100647</v>
          </cell>
          <cell r="B84" t="str">
            <v>Managed Account Advisors LLC</v>
          </cell>
          <cell r="J84">
            <v>42825</v>
          </cell>
          <cell r="K84">
            <v>65792940</v>
          </cell>
          <cell r="M84">
            <v>65792940</v>
          </cell>
          <cell r="O84">
            <v>65792940</v>
          </cell>
        </row>
        <row r="85">
          <cell r="A85" t="str">
            <v>IQ26914859</v>
          </cell>
          <cell r="B85" t="str">
            <v>Toronto-Dominion Bank, Securities Investments</v>
          </cell>
          <cell r="J85">
            <v>42887</v>
          </cell>
          <cell r="K85">
            <v>64467436</v>
          </cell>
          <cell r="M85">
            <v>69079848</v>
          </cell>
          <cell r="O85">
            <v>64467436</v>
          </cell>
        </row>
        <row r="86">
          <cell r="A86" t="str">
            <v>IQ45275521</v>
          </cell>
          <cell r="B86" t="str">
            <v>Barclays Bank PLC, Wealth and Investment Management Division</v>
          </cell>
          <cell r="J86">
            <v>42887</v>
          </cell>
          <cell r="K86">
            <v>64197831</v>
          </cell>
          <cell r="M86">
            <v>77564527</v>
          </cell>
          <cell r="O86">
            <v>64197831</v>
          </cell>
        </row>
        <row r="87">
          <cell r="A87" t="str">
            <v>IQ28606822</v>
          </cell>
          <cell r="B87" t="str">
            <v>Sanderson Partners Ltd</v>
          </cell>
          <cell r="J87">
            <v>42887</v>
          </cell>
          <cell r="K87">
            <v>63603917</v>
          </cell>
          <cell r="M87">
            <v>64180655</v>
          </cell>
          <cell r="O87">
            <v>63603917</v>
          </cell>
        </row>
        <row r="88">
          <cell r="A88" t="str">
            <v>IQ4161650</v>
          </cell>
          <cell r="B88" t="str">
            <v>AllianceBernstein L.P.</v>
          </cell>
          <cell r="J88">
            <v>42887</v>
          </cell>
          <cell r="K88">
            <v>62761700</v>
          </cell>
          <cell r="M88">
            <v>75439020</v>
          </cell>
          <cell r="O88">
            <v>62761700</v>
          </cell>
        </row>
        <row r="89">
          <cell r="A89" t="str">
            <v>IQ946225</v>
          </cell>
          <cell r="B89" t="str">
            <v>Capital Group International Inc.</v>
          </cell>
          <cell r="J89">
            <v>42887</v>
          </cell>
          <cell r="K89">
            <v>61375980</v>
          </cell>
          <cell r="M89">
            <v>108355805</v>
          </cell>
          <cell r="O89">
            <v>61375980</v>
          </cell>
        </row>
        <row r="90">
          <cell r="A90" t="str">
            <v>IQ161245</v>
          </cell>
          <cell r="B90" t="str">
            <v>California Public Employees' Retirement System</v>
          </cell>
          <cell r="J90">
            <v>42887</v>
          </cell>
          <cell r="K90">
            <v>60089825</v>
          </cell>
          <cell r="M90">
            <v>58825279</v>
          </cell>
          <cell r="O90">
            <v>60089825</v>
          </cell>
        </row>
        <row r="91">
          <cell r="A91" t="str">
            <v>IQ172314482</v>
          </cell>
          <cell r="B91" t="str">
            <v>NFU Mutual Investment Services Limited</v>
          </cell>
          <cell r="J91">
            <v>42887</v>
          </cell>
          <cell r="K91">
            <v>59034090</v>
          </cell>
          <cell r="M91">
            <v>60709718</v>
          </cell>
          <cell r="O91">
            <v>59034090</v>
          </cell>
        </row>
        <row r="92">
          <cell r="A92" t="str">
            <v>IQ6771322</v>
          </cell>
          <cell r="B92" t="str">
            <v>Employees Provident Fund of Malaysia</v>
          </cell>
          <cell r="J92">
            <v>42887</v>
          </cell>
          <cell r="K92">
            <v>58767000</v>
          </cell>
          <cell r="M92">
            <v>52220000</v>
          </cell>
          <cell r="O92">
            <v>58767000</v>
          </cell>
        </row>
        <row r="93">
          <cell r="A93" t="str">
            <v>IQ5407888</v>
          </cell>
          <cell r="B93" t="str">
            <v>Quilter Cheviot Limited</v>
          </cell>
          <cell r="J93">
            <v>42887</v>
          </cell>
          <cell r="K93">
            <v>57756185</v>
          </cell>
          <cell r="M93">
            <v>59130801</v>
          </cell>
          <cell r="O93">
            <v>57756185</v>
          </cell>
        </row>
        <row r="94">
          <cell r="A94" t="str">
            <v>IQ10517918</v>
          </cell>
          <cell r="B94" t="str">
            <v>Geode Capital Management, LLC</v>
          </cell>
          <cell r="J94">
            <v>42886</v>
          </cell>
          <cell r="K94">
            <v>57231279</v>
          </cell>
          <cell r="M94">
            <v>52033430</v>
          </cell>
          <cell r="O94">
            <v>57231279</v>
          </cell>
        </row>
        <row r="95">
          <cell r="A95" t="str">
            <v>IQ29463671</v>
          </cell>
          <cell r="B95" t="str">
            <v>LBBW Asset Management Investmentgesellschaft mbH</v>
          </cell>
          <cell r="J95">
            <v>42887</v>
          </cell>
          <cell r="K95">
            <v>56335155</v>
          </cell>
          <cell r="M95">
            <v>31367491</v>
          </cell>
          <cell r="O95">
            <v>56335155</v>
          </cell>
        </row>
        <row r="96">
          <cell r="A96" t="str">
            <v>IQ517678</v>
          </cell>
          <cell r="B96" t="str">
            <v>D. E. Shaw &amp; Co., L.P.</v>
          </cell>
          <cell r="J96">
            <v>42825</v>
          </cell>
          <cell r="K96">
            <v>55718840</v>
          </cell>
          <cell r="M96">
            <v>55718840</v>
          </cell>
          <cell r="O96">
            <v>55718840</v>
          </cell>
        </row>
        <row r="97">
          <cell r="A97" t="str">
            <v>IQ45324448</v>
          </cell>
          <cell r="B97" t="str">
            <v>ING Groep NV, Insurance and Banking Investments</v>
          </cell>
          <cell r="J97">
            <v>42916</v>
          </cell>
          <cell r="K97">
            <v>53464797</v>
          </cell>
          <cell r="M97">
            <v>52200024</v>
          </cell>
          <cell r="O97">
            <v>53464797</v>
          </cell>
        </row>
        <row r="98">
          <cell r="A98" t="str">
            <v>IQ4849059</v>
          </cell>
          <cell r="B98" t="str">
            <v>Barrow, Hanley, Mewhinney &amp; Strauss, Inc.</v>
          </cell>
          <cell r="J98">
            <v>42916</v>
          </cell>
          <cell r="K98">
            <v>52465400</v>
          </cell>
          <cell r="M98">
            <v>52465400</v>
          </cell>
          <cell r="O98">
            <v>52465400</v>
          </cell>
        </row>
        <row r="99">
          <cell r="A99" t="str">
            <v>IQ3071217</v>
          </cell>
          <cell r="B99" t="str">
            <v>Renaissance Technologies Corp.</v>
          </cell>
          <cell r="J99">
            <v>42825</v>
          </cell>
          <cell r="K99">
            <v>51742000</v>
          </cell>
          <cell r="M99">
            <v>51742000</v>
          </cell>
          <cell r="O99">
            <v>51742000</v>
          </cell>
        </row>
        <row r="100">
          <cell r="A100" t="str">
            <v>IQ27814715</v>
          </cell>
          <cell r="B100" t="str">
            <v>Smith &amp; Williamson Investment Services Limited</v>
          </cell>
          <cell r="J100">
            <v>42887</v>
          </cell>
          <cell r="K100">
            <v>51051672</v>
          </cell>
          <cell r="M100">
            <v>51851946</v>
          </cell>
          <cell r="O100">
            <v>51051672</v>
          </cell>
        </row>
        <row r="101">
          <cell r="A101" t="str">
            <v>IQ10079204</v>
          </cell>
          <cell r="B101" t="str">
            <v>Deka Investment GmbH</v>
          </cell>
          <cell r="J101">
            <v>42887</v>
          </cell>
          <cell r="K101">
            <v>50770124</v>
          </cell>
          <cell r="M101">
            <v>54316153</v>
          </cell>
          <cell r="O101">
            <v>50770124</v>
          </cell>
        </row>
        <row r="102">
          <cell r="A102" t="str">
            <v>IQ974641</v>
          </cell>
          <cell r="B102" t="str">
            <v>Jupiter Asset Management Limited</v>
          </cell>
          <cell r="J102">
            <v>42887</v>
          </cell>
          <cell r="K102">
            <v>48804100</v>
          </cell>
          <cell r="M102">
            <v>55513619</v>
          </cell>
          <cell r="O102">
            <v>48804100</v>
          </cell>
        </row>
        <row r="103">
          <cell r="A103" t="str">
            <v>IQ2410680</v>
          </cell>
          <cell r="B103" t="str">
            <v>J.M. Finn &amp; Co. Ltd.</v>
          </cell>
          <cell r="J103">
            <v>42887</v>
          </cell>
          <cell r="K103">
            <v>48001201</v>
          </cell>
          <cell r="M103">
            <v>47667462</v>
          </cell>
          <cell r="O103">
            <v>48001201</v>
          </cell>
        </row>
        <row r="104">
          <cell r="A104" t="str">
            <v>IQ24765759</v>
          </cell>
          <cell r="B104" t="str">
            <v>Troy Asset Management Limited</v>
          </cell>
          <cell r="J104">
            <v>42887</v>
          </cell>
          <cell r="K104">
            <v>47703397</v>
          </cell>
          <cell r="M104">
            <v>47703397</v>
          </cell>
          <cell r="O104">
            <v>47703397</v>
          </cell>
        </row>
        <row r="105">
          <cell r="A105" t="str">
            <v>IQ24587069</v>
          </cell>
          <cell r="B105" t="str">
            <v>BP Investment Management Limited</v>
          </cell>
          <cell r="J105">
            <v>42887</v>
          </cell>
          <cell r="K105">
            <v>46722455</v>
          </cell>
          <cell r="M105">
            <v>49344560</v>
          </cell>
          <cell r="O105">
            <v>46722455</v>
          </cell>
        </row>
        <row r="106">
          <cell r="A106" t="str">
            <v>IQ302550702</v>
          </cell>
          <cell r="B106" t="str">
            <v>Caisse des dépôts et consignations, Asset Management Arm</v>
          </cell>
          <cell r="J106">
            <v>42887</v>
          </cell>
          <cell r="K106">
            <v>46495519</v>
          </cell>
          <cell r="M106">
            <v>46495519</v>
          </cell>
          <cell r="O106">
            <v>46495519</v>
          </cell>
        </row>
        <row r="107">
          <cell r="A107" t="str">
            <v>IQ27920058</v>
          </cell>
          <cell r="B107" t="str">
            <v>Mitsubishi UFJ Kokusai Asset Management Co., Ltd.</v>
          </cell>
          <cell r="J107">
            <v>42887</v>
          </cell>
          <cell r="K107">
            <v>46277224</v>
          </cell>
          <cell r="M107">
            <v>49243602</v>
          </cell>
          <cell r="O107">
            <v>46277224</v>
          </cell>
        </row>
        <row r="108">
          <cell r="A108" t="str">
            <v>IQ7827260</v>
          </cell>
          <cell r="B108" t="str">
            <v>Invesco PowerShares Capital Management LLC</v>
          </cell>
          <cell r="J108">
            <v>42887</v>
          </cell>
          <cell r="K108">
            <v>45458899</v>
          </cell>
          <cell r="M108">
            <v>44397896</v>
          </cell>
          <cell r="O108">
            <v>45458899</v>
          </cell>
        </row>
        <row r="109">
          <cell r="A109" t="str">
            <v>IQ1726073</v>
          </cell>
          <cell r="B109" t="str">
            <v>TD Asset Management, Inc.</v>
          </cell>
          <cell r="J109">
            <v>42887</v>
          </cell>
          <cell r="K109">
            <v>44438583</v>
          </cell>
          <cell r="M109">
            <v>45146358</v>
          </cell>
          <cell r="O109">
            <v>44438583</v>
          </cell>
        </row>
        <row r="110">
          <cell r="A110" t="str">
            <v>IQ3546822</v>
          </cell>
          <cell r="B110" t="str">
            <v>Goldman Sachs Asset Management, L.P.</v>
          </cell>
          <cell r="J110">
            <v>42855</v>
          </cell>
          <cell r="K110">
            <v>44340107</v>
          </cell>
          <cell r="M110">
            <v>45208022</v>
          </cell>
          <cell r="O110">
            <v>44340107</v>
          </cell>
        </row>
        <row r="111">
          <cell r="A111" t="str">
            <v>IQ23023177</v>
          </cell>
          <cell r="B111" t="str">
            <v>Swedbank Robur Fonder AB</v>
          </cell>
          <cell r="J111">
            <v>42887</v>
          </cell>
          <cell r="K111">
            <v>42540285</v>
          </cell>
          <cell r="M111">
            <v>61014069</v>
          </cell>
          <cell r="O111">
            <v>42540285</v>
          </cell>
        </row>
        <row r="112">
          <cell r="A112" t="str">
            <v>IQ41951543</v>
          </cell>
          <cell r="B112" t="str">
            <v>The Bank of Nova Scotia, Banking Investments</v>
          </cell>
          <cell r="J112">
            <v>42887</v>
          </cell>
          <cell r="K112">
            <v>42471700</v>
          </cell>
          <cell r="M112">
            <v>51021445</v>
          </cell>
          <cell r="O112">
            <v>42471700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4">
          <cell r="A74" t="str">
            <v>BlackRock, Inc.</v>
          </cell>
          <cell r="C74">
            <v>1725256860</v>
          </cell>
          <cell r="J74">
            <v>-232218693</v>
          </cell>
        </row>
        <row r="75">
          <cell r="A75" t="str">
            <v>Capital Research and Management Company</v>
          </cell>
          <cell r="C75">
            <v>799776668</v>
          </cell>
          <cell r="J75">
            <v>-128823432</v>
          </cell>
        </row>
        <row r="76">
          <cell r="A76" t="str">
            <v>Fisher Investments</v>
          </cell>
          <cell r="C76">
            <v>264021362</v>
          </cell>
          <cell r="J76">
            <v>-67565572</v>
          </cell>
        </row>
        <row r="77">
          <cell r="A77" t="str">
            <v>Deutsche Bank, Private Banking and Investment Banking Investments</v>
          </cell>
          <cell r="C77">
            <v>132294128</v>
          </cell>
          <cell r="J77">
            <v>-67177722</v>
          </cell>
        </row>
        <row r="78">
          <cell r="A78" t="str">
            <v>UBS Asset Management</v>
          </cell>
          <cell r="C78">
            <v>722203258</v>
          </cell>
          <cell r="J78">
            <v>-54367787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XFD335"/>
  <sheetViews>
    <sheetView showGridLines="0" zoomScale="85" zoomScaleNormal="85" workbookViewId="0">
      <pane xSplit="7" ySplit="3" topLeftCell="Q121" activePane="bottomRight" state="frozen"/>
      <selection activeCell="L64" sqref="L64"/>
      <selection pane="topRight" activeCell="L64" sqref="L64"/>
      <selection pane="bottomLeft" activeCell="L64" sqref="L64"/>
      <selection pane="bottomRight" activeCell="V18" sqref="V18"/>
    </sheetView>
  </sheetViews>
  <sheetFormatPr defaultRowHeight="15" outlineLevelRow="1" outlineLevelCol="1"/>
  <cols>
    <col min="1" max="1" width="23.42578125" style="262" hidden="1" customWidth="1" outlineLevel="1"/>
    <col min="2" max="2" width="15.7109375" style="262" hidden="1" customWidth="1" outlineLevel="1"/>
    <col min="3" max="3" width="1.7109375" style="21" customWidth="1" collapsed="1"/>
    <col min="4" max="4" width="1.7109375" customWidth="1"/>
    <col min="5" max="5" width="15.7109375" customWidth="1"/>
    <col min="6" max="6" width="17.28515625" customWidth="1"/>
    <col min="8" max="14" width="9.140625" hidden="1" customWidth="1" outlineLevel="1"/>
    <col min="15" max="16" width="8.7109375" hidden="1" customWidth="1" outlineLevel="1"/>
    <col min="17" max="17" width="7.7109375" bestFit="1" customWidth="1" collapsed="1"/>
    <col min="18" max="19" width="7.85546875" bestFit="1" customWidth="1"/>
    <col min="20" max="20" width="7.5703125" bestFit="1" customWidth="1"/>
    <col min="21" max="21" width="7.140625" bestFit="1" customWidth="1"/>
    <col min="22" max="24" width="6.85546875" bestFit="1" customWidth="1"/>
    <col min="25" max="27" width="7.42578125" bestFit="1" customWidth="1"/>
    <col min="28" max="29" width="7.85546875" bestFit="1" customWidth="1"/>
    <col min="30" max="40" width="8.28515625" bestFit="1" customWidth="1"/>
    <col min="42" max="42" width="9.140625" customWidth="1"/>
  </cols>
  <sheetData>
    <row r="1" spans="2:49" ht="23.25">
      <c r="C1" s="93"/>
      <c r="D1" s="30"/>
      <c r="E1" s="283">
        <f ca="1">DCF!B64</f>
        <v>510.83112102193934</v>
      </c>
      <c r="M1" s="31"/>
      <c r="N1" s="31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P1" s="32"/>
    </row>
    <row r="2" spans="2:49" ht="15.75">
      <c r="E2" s="33"/>
      <c r="F2" s="34"/>
      <c r="P2" s="6"/>
      <c r="W2" s="197"/>
      <c r="X2" s="35"/>
      <c r="Y2" s="35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P2" s="36" t="s">
        <v>61</v>
      </c>
      <c r="AQ2" s="37"/>
      <c r="AS2" s="36" t="s">
        <v>292</v>
      </c>
      <c r="AT2" s="37"/>
      <c r="AV2" s="36" t="s">
        <v>293</v>
      </c>
      <c r="AW2" s="37"/>
    </row>
    <row r="3" spans="2:49">
      <c r="C3" s="94"/>
      <c r="D3" s="249"/>
      <c r="E3" s="249"/>
      <c r="F3" s="249"/>
      <c r="G3" s="249"/>
      <c r="H3" s="249">
        <v>2000</v>
      </c>
      <c r="I3" s="249">
        <f>+H3+1</f>
        <v>2001</v>
      </c>
      <c r="J3" s="249">
        <f t="shared" ref="J3:AN3" si="0">+I3+1</f>
        <v>2002</v>
      </c>
      <c r="K3" s="249">
        <f t="shared" si="0"/>
        <v>2003</v>
      </c>
      <c r="L3" s="249">
        <f t="shared" si="0"/>
        <v>2004</v>
      </c>
      <c r="M3" s="249">
        <f t="shared" si="0"/>
        <v>2005</v>
      </c>
      <c r="N3" s="249">
        <f t="shared" si="0"/>
        <v>2006</v>
      </c>
      <c r="O3" s="249">
        <f t="shared" si="0"/>
        <v>2007</v>
      </c>
      <c r="P3" s="249">
        <f t="shared" si="0"/>
        <v>2008</v>
      </c>
      <c r="Q3" s="249">
        <f t="shared" si="0"/>
        <v>2009</v>
      </c>
      <c r="R3" s="249">
        <f t="shared" si="0"/>
        <v>2010</v>
      </c>
      <c r="S3" s="249">
        <f t="shared" si="0"/>
        <v>2011</v>
      </c>
      <c r="T3" s="249">
        <f t="shared" si="0"/>
        <v>2012</v>
      </c>
      <c r="U3" s="249">
        <f t="shared" si="0"/>
        <v>2013</v>
      </c>
      <c r="V3" s="249">
        <f t="shared" si="0"/>
        <v>2014</v>
      </c>
      <c r="W3" s="249">
        <f t="shared" si="0"/>
        <v>2015</v>
      </c>
      <c r="X3" s="249">
        <f t="shared" si="0"/>
        <v>2016</v>
      </c>
      <c r="Y3" s="249">
        <f t="shared" si="0"/>
        <v>2017</v>
      </c>
      <c r="Z3" s="249">
        <f t="shared" si="0"/>
        <v>2018</v>
      </c>
      <c r="AA3" s="249">
        <f t="shared" si="0"/>
        <v>2019</v>
      </c>
      <c r="AB3" s="249">
        <f t="shared" si="0"/>
        <v>2020</v>
      </c>
      <c r="AC3" s="249">
        <f t="shared" si="0"/>
        <v>2021</v>
      </c>
      <c r="AD3" s="249">
        <f t="shared" si="0"/>
        <v>2022</v>
      </c>
      <c r="AE3" s="249">
        <f t="shared" si="0"/>
        <v>2023</v>
      </c>
      <c r="AF3" s="249">
        <f t="shared" si="0"/>
        <v>2024</v>
      </c>
      <c r="AG3" s="249">
        <f t="shared" si="0"/>
        <v>2025</v>
      </c>
      <c r="AH3" s="249">
        <f t="shared" si="0"/>
        <v>2026</v>
      </c>
      <c r="AI3" s="249">
        <f t="shared" si="0"/>
        <v>2027</v>
      </c>
      <c r="AJ3" s="249">
        <f t="shared" si="0"/>
        <v>2028</v>
      </c>
      <c r="AK3" s="249">
        <f t="shared" si="0"/>
        <v>2029</v>
      </c>
      <c r="AL3" s="249">
        <f t="shared" si="0"/>
        <v>2030</v>
      </c>
      <c r="AM3" s="249">
        <f t="shared" si="0"/>
        <v>2031</v>
      </c>
      <c r="AN3" s="249">
        <f t="shared" si="0"/>
        <v>2032</v>
      </c>
      <c r="AP3" s="275" t="s">
        <v>354</v>
      </c>
      <c r="AQ3" s="275" t="s">
        <v>356</v>
      </c>
      <c r="AS3" s="275" t="s">
        <v>355</v>
      </c>
      <c r="AT3" s="275" t="s">
        <v>356</v>
      </c>
      <c r="AV3" s="275"/>
      <c r="AW3" s="275"/>
    </row>
    <row r="4" spans="2:49">
      <c r="C4" s="94" t="s">
        <v>146</v>
      </c>
      <c r="D4" s="249" t="s">
        <v>146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</row>
    <row r="5" spans="2:49">
      <c r="D5" s="258"/>
      <c r="E5" s="259" t="s">
        <v>168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</row>
    <row r="6" spans="2:49" ht="5.0999999999999996" customHeight="1">
      <c r="H6" s="6"/>
      <c r="I6" s="6"/>
      <c r="J6" s="6"/>
      <c r="K6" s="6"/>
      <c r="L6" s="6"/>
      <c r="M6" s="6"/>
      <c r="N6" s="6"/>
      <c r="O6" s="6"/>
      <c r="P6" s="6"/>
      <c r="Q6" s="67"/>
      <c r="R6" s="48"/>
      <c r="S6" s="48"/>
      <c r="T6" s="48"/>
      <c r="U6" s="48"/>
      <c r="V6" s="48"/>
      <c r="W6" s="48"/>
      <c r="X6" s="48"/>
      <c r="Y6" s="48"/>
      <c r="Z6" s="48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6"/>
    </row>
    <row r="7" spans="2:49" outlineLevel="1">
      <c r="B7" s="262" t="s">
        <v>214</v>
      </c>
      <c r="E7" s="56" t="s">
        <v>251</v>
      </c>
      <c r="F7" s="38"/>
      <c r="G7" s="38"/>
      <c r="H7" s="139"/>
      <c r="I7" s="139"/>
      <c r="J7" s="139"/>
      <c r="K7" s="139"/>
      <c r="L7" s="139"/>
      <c r="M7" s="139"/>
      <c r="N7" s="139"/>
      <c r="O7" s="139"/>
      <c r="P7" s="139"/>
      <c r="Q7" s="161">
        <v>1700</v>
      </c>
      <c r="R7" s="161">
        <v>1693</v>
      </c>
      <c r="S7" s="161">
        <v>1953</v>
      </c>
      <c r="T7" s="161">
        <v>3188</v>
      </c>
      <c r="U7" s="161">
        <v>3869</v>
      </c>
      <c r="V7" s="161">
        <v>4222</v>
      </c>
      <c r="W7" s="161">
        <v>4241</v>
      </c>
      <c r="X7" s="161">
        <v>4166</v>
      </c>
      <c r="Y7" s="161">
        <v>4727</v>
      </c>
      <c r="Z7" s="161">
        <v>5550</v>
      </c>
      <c r="AA7" s="161">
        <v>6202</v>
      </c>
      <c r="AB7" s="161">
        <v>5472</v>
      </c>
      <c r="AC7" s="161">
        <v>6074</v>
      </c>
      <c r="AD7" s="49">
        <f t="shared" ref="AD7:AN7" si="1">SUM(AC7:AC8)*(1+AD$33)*(1-AD41)</f>
        <v>7557.1995751414288</v>
      </c>
      <c r="AE7" s="49">
        <f t="shared" ca="1" si="1"/>
        <v>8209.0379391329279</v>
      </c>
      <c r="AF7" s="49">
        <f t="shared" ca="1" si="1"/>
        <v>8585.0206023563042</v>
      </c>
      <c r="AG7" s="49">
        <f t="shared" ca="1" si="1"/>
        <v>8939.5473541308165</v>
      </c>
      <c r="AH7" s="49">
        <f t="shared" ca="1" si="1"/>
        <v>9361.2304466711576</v>
      </c>
      <c r="AI7" s="49">
        <f t="shared" ca="1" si="1"/>
        <v>9769.533170112014</v>
      </c>
      <c r="AJ7" s="49">
        <f t="shared" ca="1" si="1"/>
        <v>10260.716649177713</v>
      </c>
      <c r="AK7" s="49">
        <f t="shared" ca="1" si="1"/>
        <v>10746.931117097958</v>
      </c>
      <c r="AL7" s="49">
        <f t="shared" ca="1" si="1"/>
        <v>11122.043997883195</v>
      </c>
      <c r="AM7" s="49">
        <f t="shared" ca="1" si="1"/>
        <v>11483.467008858875</v>
      </c>
      <c r="AN7" s="49">
        <f t="shared" ca="1" si="1"/>
        <v>11831.176887198742</v>
      </c>
      <c r="AO7" s="6"/>
      <c r="AP7" s="160">
        <f ca="1">+(AM7/AC7)^(0.1)-1</f>
        <v>6.5761000333722563E-2</v>
      </c>
      <c r="AQ7" s="160">
        <f>+(AC7/S7)^(1/10)-1</f>
        <v>0.12015276292294397</v>
      </c>
    </row>
    <row r="8" spans="2:49" outlineLevel="1">
      <c r="B8" s="262" t="s">
        <v>213</v>
      </c>
      <c r="E8" s="56" t="s">
        <v>252</v>
      </c>
      <c r="F8" s="38"/>
      <c r="G8" s="38"/>
      <c r="H8" s="139"/>
      <c r="I8" s="139"/>
      <c r="J8" s="139"/>
      <c r="K8" s="139"/>
      <c r="L8" s="139"/>
      <c r="M8" s="139"/>
      <c r="N8" s="139"/>
      <c r="O8" s="139"/>
      <c r="P8" s="139"/>
      <c r="Q8" s="161">
        <v>130</v>
      </c>
      <c r="R8" s="161">
        <v>141</v>
      </c>
      <c r="S8" s="161">
        <v>198</v>
      </c>
      <c r="T8" s="161">
        <v>267</v>
      </c>
      <c r="U8" s="161">
        <v>327</v>
      </c>
      <c r="V8" s="161">
        <v>597</v>
      </c>
      <c r="W8" s="161">
        <v>708</v>
      </c>
      <c r="X8" s="161">
        <v>775</v>
      </c>
      <c r="Y8" s="161">
        <v>988</v>
      </c>
      <c r="Z8" s="161">
        <v>1390</v>
      </c>
      <c r="AA8" s="161">
        <v>1762</v>
      </c>
      <c r="AB8" s="161">
        <v>1668</v>
      </c>
      <c r="AC8" s="161">
        <v>2133</v>
      </c>
      <c r="AD8" s="49">
        <f t="shared" ref="AD8:AN8" si="2">SUM(AC7:AC8)*(1+AD$33)*(AD41)</f>
        <v>2188.1757917845089</v>
      </c>
      <c r="AE8" s="49">
        <f t="shared" ca="1" si="2"/>
        <v>2522.8712659364719</v>
      </c>
      <c r="AF8" s="49">
        <f t="shared" ca="1" si="2"/>
        <v>2795.3310968766345</v>
      </c>
      <c r="AG8" s="49">
        <f t="shared" ca="1" si="2"/>
        <v>3078.7897026513092</v>
      </c>
      <c r="AH8" s="49">
        <f t="shared" ca="1" si="2"/>
        <v>3405.0274478535325</v>
      </c>
      <c r="AI8" s="49">
        <f t="shared" ca="1" si="2"/>
        <v>3747.960144652478</v>
      </c>
      <c r="AJ8" s="49">
        <f t="shared" ca="1" si="2"/>
        <v>4146.6368052720554</v>
      </c>
      <c r="AK8" s="49">
        <f t="shared" ca="1" si="2"/>
        <v>4569.9519016685499</v>
      </c>
      <c r="AL8" s="49">
        <f t="shared" ca="1" si="2"/>
        <v>4971.3664627258449</v>
      </c>
      <c r="AM8" s="49">
        <f t="shared" ca="1" si="2"/>
        <v>5390.4228004286406</v>
      </c>
      <c r="AN8" s="49">
        <f t="shared" ca="1" si="2"/>
        <v>5827.2960787695311</v>
      </c>
      <c r="AO8" s="6"/>
      <c r="AP8" s="160">
        <f ca="1">+(AM8/AC8)^(0.1)-1</f>
        <v>9.7142901352295308E-2</v>
      </c>
      <c r="AQ8" s="160">
        <f t="shared" ref="AQ8:AQ10" si="3">+(AC8/S8)^(1/10)-1</f>
        <v>0.26833088054663867</v>
      </c>
    </row>
    <row r="9" spans="2:49" outlineLevel="1">
      <c r="E9" s="56" t="s">
        <v>86</v>
      </c>
      <c r="F9" s="38"/>
      <c r="G9" s="38"/>
      <c r="H9" s="139"/>
      <c r="I9" s="139"/>
      <c r="J9" s="139"/>
      <c r="K9" s="139"/>
      <c r="L9" s="139"/>
      <c r="M9" s="139"/>
      <c r="N9" s="139"/>
      <c r="O9" s="139"/>
      <c r="P9" s="139"/>
      <c r="Q9" s="161">
        <f>2358-Q7-Q8</f>
        <v>528</v>
      </c>
      <c r="R9" s="161">
        <f>2237-R7-R8</f>
        <v>403</v>
      </c>
      <c r="S9" s="161">
        <f>2611-S7-S8</f>
        <v>460</v>
      </c>
      <c r="T9" s="161">
        <f>4117-T7-T8</f>
        <v>662</v>
      </c>
      <c r="U9" s="161">
        <f>4955-U7-U8</f>
        <v>759</v>
      </c>
      <c r="V9" s="161">
        <f>5685-V7-V8</f>
        <v>866</v>
      </c>
      <c r="W9" s="161">
        <f>5817-W7-W8</f>
        <v>868</v>
      </c>
      <c r="X9" s="161">
        <f>5762-X7-X8</f>
        <v>821</v>
      </c>
      <c r="Y9" s="161">
        <f>6641-Y7-Y8</f>
        <v>926</v>
      </c>
      <c r="Z9" s="161">
        <f>8047-Z7-Z8</f>
        <v>1107</v>
      </c>
      <c r="AA9" s="161">
        <f>9351-AA8-AA7</f>
        <v>1387</v>
      </c>
      <c r="AB9" s="161">
        <f>8530-AB8-AB7</f>
        <v>1390</v>
      </c>
      <c r="AC9" s="161">
        <f>9716-AC8-AC7</f>
        <v>1509</v>
      </c>
      <c r="AD9" s="49">
        <f t="shared" ref="AD9:AN9" si="4">(1+AD36)*AC9</f>
        <v>1614.63</v>
      </c>
      <c r="AE9" s="49">
        <f t="shared" si="4"/>
        <v>1695.3615000000002</v>
      </c>
      <c r="AF9" s="49">
        <f t="shared" si="4"/>
        <v>1780.1295750000004</v>
      </c>
      <c r="AG9" s="49">
        <f t="shared" si="4"/>
        <v>1869.1360537500004</v>
      </c>
      <c r="AH9" s="49">
        <f t="shared" si="4"/>
        <v>1962.5928564375006</v>
      </c>
      <c r="AI9" s="49">
        <f t="shared" si="4"/>
        <v>2060.7224992593756</v>
      </c>
      <c r="AJ9" s="49">
        <f t="shared" si="4"/>
        <v>2163.7586242223447</v>
      </c>
      <c r="AK9" s="49">
        <f t="shared" si="4"/>
        <v>2271.946555433462</v>
      </c>
      <c r="AL9" s="49">
        <f t="shared" si="4"/>
        <v>2385.543883205135</v>
      </c>
      <c r="AM9" s="49">
        <f t="shared" si="4"/>
        <v>2504.8210773653918</v>
      </c>
      <c r="AN9" s="49">
        <f t="shared" si="4"/>
        <v>2630.0621312336616</v>
      </c>
      <c r="AO9" s="6"/>
      <c r="AP9" s="160">
        <f>+(AM9/AC9)^(0.1)-1</f>
        <v>5.1983061131511299E-2</v>
      </c>
      <c r="AQ9" s="160">
        <f t="shared" si="3"/>
        <v>0.12614196062765681</v>
      </c>
    </row>
    <row r="10" spans="2:49" outlineLevel="1">
      <c r="E10" s="2" t="s">
        <v>215</v>
      </c>
      <c r="F10" s="127"/>
      <c r="G10" s="127"/>
      <c r="H10" s="106"/>
      <c r="I10" s="106"/>
      <c r="J10" s="106"/>
      <c r="K10" s="106"/>
      <c r="L10" s="106"/>
      <c r="M10" s="106"/>
      <c r="N10" s="106"/>
      <c r="O10" s="106"/>
      <c r="P10" s="106"/>
      <c r="Q10" s="106">
        <f t="shared" ref="Q10" si="5">SUM(Q7:Q9)</f>
        <v>2358</v>
      </c>
      <c r="R10" s="106">
        <f t="shared" ref="R10" si="6">SUM(R7:R9)</f>
        <v>2237</v>
      </c>
      <c r="S10" s="106">
        <f t="shared" ref="S10" si="7">SUM(S7:S9)</f>
        <v>2611</v>
      </c>
      <c r="T10" s="106">
        <f t="shared" ref="T10" si="8">SUM(T7:T9)</f>
        <v>4117</v>
      </c>
      <c r="U10" s="106">
        <f t="shared" ref="U10" si="9">SUM(U7:U9)</f>
        <v>4955</v>
      </c>
      <c r="V10" s="106">
        <f t="shared" ref="V10" si="10">SUM(V7:V9)</f>
        <v>5685</v>
      </c>
      <c r="W10" s="106">
        <f t="shared" ref="W10:X10" si="11">SUM(W7:W9)</f>
        <v>5817</v>
      </c>
      <c r="X10" s="106">
        <f t="shared" si="11"/>
        <v>5762</v>
      </c>
      <c r="Y10" s="106">
        <f t="shared" ref="Y10:AB10" si="12">SUM(Y7:Y9)</f>
        <v>6641</v>
      </c>
      <c r="Z10" s="106">
        <f t="shared" si="12"/>
        <v>8047</v>
      </c>
      <c r="AA10" s="106">
        <f t="shared" si="12"/>
        <v>9351</v>
      </c>
      <c r="AB10" s="106">
        <f t="shared" si="12"/>
        <v>8530</v>
      </c>
      <c r="AC10" s="106">
        <f t="shared" ref="AC10" si="13">SUM(AC7:AC9)</f>
        <v>9716</v>
      </c>
      <c r="AD10" s="106">
        <f t="shared" ref="AD10:AM10" si="14">SUM(AD7:AD9)</f>
        <v>11360.00536692594</v>
      </c>
      <c r="AE10" s="106">
        <f t="shared" ca="1" si="14"/>
        <v>12427.270705069401</v>
      </c>
      <c r="AF10" s="106">
        <f t="shared" ca="1" si="14"/>
        <v>13160.48127423294</v>
      </c>
      <c r="AG10" s="106">
        <f t="shared" ca="1" si="14"/>
        <v>13887.473110532126</v>
      </c>
      <c r="AH10" s="106">
        <f t="shared" ca="1" si="14"/>
        <v>14728.85075096219</v>
      </c>
      <c r="AI10" s="106">
        <f t="shared" ca="1" si="14"/>
        <v>15578.215814023868</v>
      </c>
      <c r="AJ10" s="106">
        <f t="shared" ca="1" si="14"/>
        <v>16571.112078672115</v>
      </c>
      <c r="AK10" s="106">
        <f t="shared" ca="1" si="14"/>
        <v>17588.829574199968</v>
      </c>
      <c r="AL10" s="106">
        <f t="shared" ca="1" si="14"/>
        <v>18478.954343814177</v>
      </c>
      <c r="AM10" s="106">
        <f t="shared" ca="1" si="14"/>
        <v>19378.710886652909</v>
      </c>
      <c r="AN10" s="106">
        <f t="shared" ref="AN10" ca="1" si="15">SUM(AN7:AN9)</f>
        <v>20288.535097201937</v>
      </c>
      <c r="AO10" s="6"/>
      <c r="AP10" s="160">
        <f ca="1">+(AM10/AC10)^(0.1)-1</f>
        <v>7.1479182680065145E-2</v>
      </c>
      <c r="AQ10" s="160">
        <f t="shared" si="3"/>
        <v>0.14042850361178516</v>
      </c>
    </row>
    <row r="11" spans="2:49" outlineLevel="1">
      <c r="B11" s="262" t="s">
        <v>198</v>
      </c>
      <c r="E11" s="56" t="s">
        <v>198</v>
      </c>
      <c r="F11" s="64"/>
      <c r="G11" s="64"/>
      <c r="H11" s="137"/>
      <c r="I11" s="137"/>
      <c r="J11" s="137"/>
      <c r="K11" s="137"/>
      <c r="L11" s="137"/>
      <c r="M11" s="137"/>
      <c r="N11" s="137"/>
      <c r="O11" s="137"/>
      <c r="P11" s="137"/>
      <c r="Q11" s="161">
        <v>1331</v>
      </c>
      <c r="R11" s="161">
        <v>1190</v>
      </c>
      <c r="S11" s="161">
        <v>1290</v>
      </c>
      <c r="T11" s="161">
        <v>1831</v>
      </c>
      <c r="U11" s="161">
        <v>2116</v>
      </c>
      <c r="V11" s="161">
        <v>2332</v>
      </c>
      <c r="W11" s="161">
        <v>2361</v>
      </c>
      <c r="X11" s="161">
        <v>2369</v>
      </c>
      <c r="Y11" s="161">
        <v>2748</v>
      </c>
      <c r="Z11" s="161">
        <v>3320</v>
      </c>
      <c r="AA11" s="161">
        <v>4050</v>
      </c>
      <c r="AB11" s="161">
        <v>3746</v>
      </c>
      <c r="AC11" s="161">
        <v>4252</v>
      </c>
      <c r="AD11" s="49">
        <f>AD10-AD13-AD12</f>
        <v>4762.787172330045</v>
      </c>
      <c r="AE11" s="49">
        <f t="shared" ref="AE11:AN11" ca="1" si="16">AE10-AE13-AE12</f>
        <v>4850.0987072751213</v>
      </c>
      <c r="AF11" s="49">
        <f t="shared" ca="1" si="16"/>
        <v>5097.0790515129811</v>
      </c>
      <c r="AG11" s="49">
        <f t="shared" ca="1" si="16"/>
        <v>5316.6206179060555</v>
      </c>
      <c r="AH11" s="49">
        <f t="shared" ca="1" si="16"/>
        <v>5578.651527316887</v>
      </c>
      <c r="AI11" s="49">
        <f t="shared" ca="1" si="16"/>
        <v>5819.7797843493472</v>
      </c>
      <c r="AJ11" s="49">
        <f t="shared" ca="1" si="16"/>
        <v>6115.6598914806254</v>
      </c>
      <c r="AK11" s="49">
        <f t="shared" ca="1" si="16"/>
        <v>6395.8420338942678</v>
      </c>
      <c r="AL11" s="49">
        <f t="shared" ca="1" si="16"/>
        <v>6581.2341326360947</v>
      </c>
      <c r="AM11" s="49">
        <f t="shared" ca="1" si="16"/>
        <v>6754.7379507844898</v>
      </c>
      <c r="AN11" s="49">
        <f t="shared" ca="1" si="16"/>
        <v>7035.5957529109528</v>
      </c>
      <c r="AO11" s="6"/>
    </row>
    <row r="12" spans="2:49" outlineLevel="1">
      <c r="E12" s="56" t="s">
        <v>253</v>
      </c>
      <c r="F12" s="64"/>
      <c r="G12" s="64"/>
      <c r="H12" s="137"/>
      <c r="I12" s="137"/>
      <c r="J12" s="137"/>
      <c r="K12" s="137"/>
      <c r="L12" s="137"/>
      <c r="M12" s="137"/>
      <c r="N12" s="137"/>
      <c r="O12" s="137"/>
      <c r="P12" s="137"/>
      <c r="Q12" s="161">
        <v>417</v>
      </c>
      <c r="R12" s="161">
        <v>389</v>
      </c>
      <c r="S12" s="161">
        <v>423</v>
      </c>
      <c r="T12" s="161">
        <v>699</v>
      </c>
      <c r="U12" s="161">
        <v>852</v>
      </c>
      <c r="V12" s="161">
        <v>921</v>
      </c>
      <c r="W12" s="161">
        <v>976</v>
      </c>
      <c r="X12" s="161">
        <v>990</v>
      </c>
      <c r="Y12" s="161">
        <v>1124</v>
      </c>
      <c r="Z12" s="161">
        <v>1363</v>
      </c>
      <c r="AA12" s="161">
        <v>1631</v>
      </c>
      <c r="AB12" s="161">
        <v>1601</v>
      </c>
      <c r="AC12" s="161">
        <v>1611</v>
      </c>
      <c r="AD12" s="44">
        <f>+AD86</f>
        <v>1773.2110344827588</v>
      </c>
      <c r="AE12" s="44">
        <f t="shared" ref="AE12:AN12" si="17">+AE86</f>
        <v>2185.8801418975258</v>
      </c>
      <c r="AF12" s="44">
        <f t="shared" ca="1" si="17"/>
        <v>2281.2640160967908</v>
      </c>
      <c r="AG12" s="44">
        <f t="shared" ca="1" si="17"/>
        <v>2392.1968583994826</v>
      </c>
      <c r="AH12" s="44">
        <f t="shared" ca="1" si="17"/>
        <v>2515.6365563517675</v>
      </c>
      <c r="AI12" s="44">
        <f t="shared" ca="1" si="17"/>
        <v>2654.7103630380107</v>
      </c>
      <c r="AJ12" s="44">
        <f t="shared" ca="1" si="17"/>
        <v>2807.0223816241578</v>
      </c>
      <c r="AK12" s="44">
        <f t="shared" ca="1" si="17"/>
        <v>2976.934023978768</v>
      </c>
      <c r="AL12" s="44">
        <f t="shared" ca="1" si="17"/>
        <v>3162.4941788830292</v>
      </c>
      <c r="AM12" s="44">
        <f t="shared" ca="1" si="17"/>
        <v>3354.9494154769809</v>
      </c>
      <c r="AN12" s="44">
        <f t="shared" ca="1" si="17"/>
        <v>3553.478226295802</v>
      </c>
      <c r="AO12" s="6"/>
    </row>
    <row r="13" spans="2:49" outlineLevel="1">
      <c r="E13" s="2" t="s">
        <v>216</v>
      </c>
      <c r="F13" s="127"/>
      <c r="G13" s="127"/>
      <c r="H13" s="106"/>
      <c r="I13" s="106"/>
      <c r="J13" s="106"/>
      <c r="K13" s="106"/>
      <c r="L13" s="106"/>
      <c r="M13" s="106"/>
      <c r="N13" s="106"/>
      <c r="O13" s="106"/>
      <c r="P13" s="106"/>
      <c r="Q13" s="106">
        <f t="shared" ref="Q13:AB13" si="18">Q10-Q11-Q12</f>
        <v>610</v>
      </c>
      <c r="R13" s="106">
        <f t="shared" si="18"/>
        <v>658</v>
      </c>
      <c r="S13" s="106">
        <f t="shared" si="18"/>
        <v>898</v>
      </c>
      <c r="T13" s="106">
        <f t="shared" si="18"/>
        <v>1587</v>
      </c>
      <c r="U13" s="106">
        <f t="shared" si="18"/>
        <v>1987</v>
      </c>
      <c r="V13" s="106">
        <f t="shared" si="18"/>
        <v>2432</v>
      </c>
      <c r="W13" s="106">
        <f t="shared" si="18"/>
        <v>2480</v>
      </c>
      <c r="X13" s="106">
        <f t="shared" si="18"/>
        <v>2403</v>
      </c>
      <c r="Y13" s="106">
        <f t="shared" si="18"/>
        <v>2769</v>
      </c>
      <c r="Z13" s="106">
        <f t="shared" si="18"/>
        <v>3364</v>
      </c>
      <c r="AA13" s="106">
        <f t="shared" si="18"/>
        <v>3670</v>
      </c>
      <c r="AB13" s="106">
        <f t="shared" si="18"/>
        <v>3183</v>
      </c>
      <c r="AC13" s="106">
        <f>AC10-AC11-AC12</f>
        <v>3853</v>
      </c>
      <c r="AD13" s="71">
        <f t="shared" ref="AD13:AN13" si="19">AD10*AD50</f>
        <v>4824.0071601131358</v>
      </c>
      <c r="AE13" s="71">
        <f t="shared" ca="1" si="19"/>
        <v>5391.291855896754</v>
      </c>
      <c r="AF13" s="71">
        <f t="shared" ca="1" si="19"/>
        <v>5782.1382066231681</v>
      </c>
      <c r="AG13" s="71">
        <f t="shared" ca="1" si="19"/>
        <v>6178.6556342265885</v>
      </c>
      <c r="AH13" s="71">
        <f t="shared" ca="1" si="19"/>
        <v>6634.5626672935359</v>
      </c>
      <c r="AI13" s="71">
        <f t="shared" ca="1" si="19"/>
        <v>7103.7256666365092</v>
      </c>
      <c r="AJ13" s="71">
        <f t="shared" ca="1" si="19"/>
        <v>7648.4298055673326</v>
      </c>
      <c r="AK13" s="71">
        <f t="shared" ca="1" si="19"/>
        <v>8216.0535163269324</v>
      </c>
      <c r="AL13" s="71">
        <f t="shared" ca="1" si="19"/>
        <v>8735.2260322950533</v>
      </c>
      <c r="AM13" s="71">
        <f t="shared" ca="1" si="19"/>
        <v>9269.0235203914381</v>
      </c>
      <c r="AN13" s="71">
        <f t="shared" ca="1" si="19"/>
        <v>9699.4611179951826</v>
      </c>
      <c r="AO13" s="6"/>
      <c r="AP13" s="160">
        <f ca="1">+(AM13/AC13)^(0.1)-1</f>
        <v>9.1750746423606921E-2</v>
      </c>
      <c r="AQ13" s="160">
        <f t="shared" ref="AQ13:AQ14" si="20">+(AC13/S13)^(1/10)-1</f>
        <v>0.15678398445783182</v>
      </c>
    </row>
    <row r="14" spans="2:49" outlineLevel="1">
      <c r="B14" s="262" t="s">
        <v>175</v>
      </c>
      <c r="E14" s="138" t="s">
        <v>175</v>
      </c>
      <c r="F14" s="38"/>
      <c r="G14" s="38"/>
      <c r="H14" s="137"/>
      <c r="I14" s="137"/>
      <c r="J14" s="137"/>
      <c r="K14" s="137"/>
      <c r="L14" s="137"/>
      <c r="M14" s="137"/>
      <c r="N14" s="137"/>
      <c r="O14" s="137"/>
      <c r="P14" s="137"/>
      <c r="Q14" s="161">
        <v>408</v>
      </c>
      <c r="R14" s="161">
        <v>367</v>
      </c>
      <c r="S14" s="161">
        <v>407</v>
      </c>
      <c r="T14" s="161">
        <v>588</v>
      </c>
      <c r="U14" s="161">
        <v>642</v>
      </c>
      <c r="V14" s="161">
        <v>758</v>
      </c>
      <c r="W14" s="161">
        <v>714</v>
      </c>
      <c r="X14" s="161">
        <v>719</v>
      </c>
      <c r="Y14" s="161">
        <v>903</v>
      </c>
      <c r="Z14" s="161">
        <v>1038</v>
      </c>
      <c r="AA14" s="161">
        <v>1092</v>
      </c>
      <c r="AB14" s="161">
        <v>979</v>
      </c>
      <c r="AC14" s="161">
        <v>1199</v>
      </c>
      <c r="AD14" s="49">
        <f t="shared" ref="AD14:AN14" si="21">AD10*AD52</f>
        <v>1390.5179727047291</v>
      </c>
      <c r="AE14" s="49">
        <f t="shared" ca="1" si="21"/>
        <v>1514.9426237260734</v>
      </c>
      <c r="AF14" s="49">
        <f t="shared" ca="1" si="21"/>
        <v>1597.744192639399</v>
      </c>
      <c r="AG14" s="49">
        <f t="shared" ca="1" si="21"/>
        <v>1679.0606769939475</v>
      </c>
      <c r="AH14" s="49">
        <f t="shared" ca="1" si="21"/>
        <v>1773.4227571752388</v>
      </c>
      <c r="AI14" s="49">
        <f t="shared" ca="1" si="21"/>
        <v>1867.9011891769167</v>
      </c>
      <c r="AJ14" s="49">
        <f t="shared" ca="1" si="21"/>
        <v>1978.6685552184388</v>
      </c>
      <c r="AK14" s="49">
        <f t="shared" ca="1" si="21"/>
        <v>2091.3943858401185</v>
      </c>
      <c r="AL14" s="49">
        <f t="shared" ca="1" si="21"/>
        <v>2187.9949213885038</v>
      </c>
      <c r="AM14" s="49">
        <f t="shared" ca="1" si="21"/>
        <v>2284.840963435146</v>
      </c>
      <c r="AN14" s="49">
        <f t="shared" ca="1" si="21"/>
        <v>2381.9692403786162</v>
      </c>
      <c r="AO14" s="6"/>
      <c r="AP14" s="160">
        <f ca="1">+(AM14/AC14)^(0.1)-1</f>
        <v>6.6605157427468642E-2</v>
      </c>
      <c r="AQ14" s="160">
        <f t="shared" si="20"/>
        <v>0.11409564708094022</v>
      </c>
    </row>
    <row r="15" spans="2:49" outlineLevel="1">
      <c r="B15" s="262" t="s">
        <v>194</v>
      </c>
      <c r="E15" s="138" t="s">
        <v>254</v>
      </c>
      <c r="F15" s="38"/>
      <c r="G15" s="38"/>
      <c r="H15" s="137"/>
      <c r="I15" s="137"/>
      <c r="J15" s="137"/>
      <c r="K15" s="137"/>
      <c r="L15" s="137"/>
      <c r="M15" s="137"/>
      <c r="N15" s="137"/>
      <c r="O15" s="137"/>
      <c r="P15" s="137"/>
      <c r="Q15" s="161">
        <v>57</v>
      </c>
      <c r="R15" s="161">
        <v>60</v>
      </c>
      <c r="S15" s="161">
        <v>57</v>
      </c>
      <c r="T15" s="161">
        <v>198</v>
      </c>
      <c r="U15" s="161">
        <v>246</v>
      </c>
      <c r="V15" s="161">
        <v>273</v>
      </c>
      <c r="W15" s="161">
        <v>268</v>
      </c>
      <c r="X15" s="161">
        <v>255</v>
      </c>
      <c r="Y15" s="161">
        <v>259</v>
      </c>
      <c r="Z15" s="161">
        <v>308</v>
      </c>
      <c r="AA15" s="161">
        <v>407</v>
      </c>
      <c r="AB15" s="161">
        <v>387</v>
      </c>
      <c r="AC15" s="161">
        <v>372</v>
      </c>
      <c r="AD15" s="44">
        <f>AD89</f>
        <v>388.60092619260905</v>
      </c>
      <c r="AE15" s="44">
        <f t="shared" ref="AE15:AN15" si="22">AE89</f>
        <v>419.40871048193281</v>
      </c>
      <c r="AF15" s="44">
        <f t="shared" ca="1" si="22"/>
        <v>424.43306634820567</v>
      </c>
      <c r="AG15" s="44">
        <f t="shared" ca="1" si="22"/>
        <v>431.90901392543219</v>
      </c>
      <c r="AH15" s="44">
        <f t="shared" ca="1" si="22"/>
        <v>441.22253877090253</v>
      </c>
      <c r="AI15" s="44">
        <f t="shared" ca="1" si="22"/>
        <v>452.39187894356911</v>
      </c>
      <c r="AJ15" s="44">
        <f t="shared" ca="1" si="22"/>
        <v>465.03381449173378</v>
      </c>
      <c r="AK15" s="44">
        <f t="shared" ca="1" si="22"/>
        <v>479.40359386856915</v>
      </c>
      <c r="AL15" s="44">
        <f t="shared" ca="1" si="22"/>
        <v>495.25193400589728</v>
      </c>
      <c r="AM15" s="44">
        <f t="shared" ca="1" si="22"/>
        <v>511.77102955632819</v>
      </c>
      <c r="AN15" s="44">
        <f t="shared" ca="1" si="22"/>
        <v>528.85703366289488</v>
      </c>
      <c r="AO15" s="6"/>
    </row>
    <row r="16" spans="2:49" outlineLevel="1">
      <c r="B16" s="262" t="s">
        <v>196</v>
      </c>
      <c r="E16" s="138" t="s">
        <v>246</v>
      </c>
      <c r="F16" s="38"/>
      <c r="G16" s="38"/>
      <c r="H16" s="137"/>
      <c r="I16" s="137"/>
      <c r="J16" s="137"/>
      <c r="K16" s="137"/>
      <c r="L16" s="137"/>
      <c r="M16" s="137"/>
      <c r="N16" s="137"/>
      <c r="O16" s="137"/>
      <c r="P16" s="137"/>
      <c r="Q16" s="182">
        <f t="shared" ref="Q16:AC16" si="23">SUM(Q74:Q75)</f>
        <v>0</v>
      </c>
      <c r="R16" s="182">
        <f t="shared" si="23"/>
        <v>34</v>
      </c>
      <c r="S16" s="182">
        <f t="shared" si="23"/>
        <v>38</v>
      </c>
      <c r="T16" s="182">
        <f t="shared" si="23"/>
        <v>210</v>
      </c>
      <c r="U16" s="182">
        <f t="shared" si="23"/>
        <v>21</v>
      </c>
      <c r="V16" s="182">
        <f t="shared" si="23"/>
        <v>10</v>
      </c>
      <c r="W16" s="182">
        <f t="shared" si="23"/>
        <v>-20</v>
      </c>
      <c r="X16" s="182">
        <f t="shared" si="23"/>
        <v>14</v>
      </c>
      <c r="Y16" s="182">
        <f t="shared" si="23"/>
        <v>100</v>
      </c>
      <c r="Z16" s="182">
        <f t="shared" si="23"/>
        <v>67</v>
      </c>
      <c r="AA16" s="182">
        <f t="shared" si="23"/>
        <v>19</v>
      </c>
      <c r="AB16" s="182">
        <f t="shared" si="23"/>
        <v>17</v>
      </c>
      <c r="AC16" s="182">
        <f t="shared" si="23"/>
        <v>5</v>
      </c>
      <c r="AD16" s="49">
        <f t="shared" ref="AD16:AN16" si="24">AD10*AD53</f>
        <v>0</v>
      </c>
      <c r="AE16" s="49">
        <f t="shared" ca="1" si="24"/>
        <v>0</v>
      </c>
      <c r="AF16" s="49">
        <f t="shared" ca="1" si="24"/>
        <v>0</v>
      </c>
      <c r="AG16" s="49">
        <f t="shared" ca="1" si="24"/>
        <v>0</v>
      </c>
      <c r="AH16" s="49">
        <f t="shared" ca="1" si="24"/>
        <v>0</v>
      </c>
      <c r="AI16" s="49">
        <f t="shared" ca="1" si="24"/>
        <v>0</v>
      </c>
      <c r="AJ16" s="49">
        <f t="shared" ca="1" si="24"/>
        <v>0</v>
      </c>
      <c r="AK16" s="49">
        <f t="shared" ca="1" si="24"/>
        <v>0</v>
      </c>
      <c r="AL16" s="49">
        <f t="shared" ca="1" si="24"/>
        <v>0</v>
      </c>
      <c r="AM16" s="49">
        <f t="shared" ca="1" si="24"/>
        <v>0</v>
      </c>
      <c r="AN16" s="49">
        <f t="shared" ca="1" si="24"/>
        <v>0</v>
      </c>
      <c r="AO16" s="6"/>
      <c r="AP16" s="49"/>
    </row>
    <row r="17" spans="2:43" outlineLevel="1">
      <c r="E17" s="2" t="s">
        <v>174</v>
      </c>
      <c r="F17" s="127"/>
      <c r="G17" s="127"/>
      <c r="H17" s="106"/>
      <c r="I17" s="106"/>
      <c r="J17" s="106"/>
      <c r="K17" s="106"/>
      <c r="L17" s="106"/>
      <c r="M17" s="106"/>
      <c r="N17" s="106"/>
      <c r="O17" s="106"/>
      <c r="P17" s="106"/>
      <c r="Q17" s="106">
        <f t="shared" ref="Q17:AN17" si="25">Q13-SUM(Q14:Q16)</f>
        <v>145</v>
      </c>
      <c r="R17" s="106">
        <f t="shared" si="25"/>
        <v>197</v>
      </c>
      <c r="S17" s="106">
        <f t="shared" si="25"/>
        <v>396</v>
      </c>
      <c r="T17" s="106">
        <f t="shared" si="25"/>
        <v>591</v>
      </c>
      <c r="U17" s="106">
        <f t="shared" si="25"/>
        <v>1078</v>
      </c>
      <c r="V17" s="106">
        <f t="shared" si="25"/>
        <v>1391</v>
      </c>
      <c r="W17" s="106">
        <f t="shared" si="25"/>
        <v>1518</v>
      </c>
      <c r="X17" s="106">
        <f t="shared" si="25"/>
        <v>1415</v>
      </c>
      <c r="Y17" s="106">
        <f t="shared" si="25"/>
        <v>1507</v>
      </c>
      <c r="Z17" s="106">
        <f t="shared" si="25"/>
        <v>1951</v>
      </c>
      <c r="AA17" s="106">
        <f t="shared" si="25"/>
        <v>2152</v>
      </c>
      <c r="AB17" s="106">
        <f>AB13-SUM(AB14:AB16)</f>
        <v>1800</v>
      </c>
      <c r="AC17" s="106">
        <f t="shared" si="25"/>
        <v>2277</v>
      </c>
      <c r="AD17" s="106">
        <f t="shared" ref="AD17:AM17" si="26">AD13-SUM(AD14:AD16)</f>
        <v>3044.8882612157977</v>
      </c>
      <c r="AE17" s="106">
        <f t="shared" ca="1" si="26"/>
        <v>3456.940521688748</v>
      </c>
      <c r="AF17" s="106">
        <f t="shared" ca="1" si="26"/>
        <v>3759.9609476355636</v>
      </c>
      <c r="AG17" s="106">
        <f t="shared" ca="1" si="26"/>
        <v>4067.6859433072086</v>
      </c>
      <c r="AH17" s="106">
        <f t="shared" ca="1" si="26"/>
        <v>4419.9173713473947</v>
      </c>
      <c r="AI17" s="106">
        <f t="shared" ca="1" si="26"/>
        <v>4783.4325985160231</v>
      </c>
      <c r="AJ17" s="106">
        <f t="shared" ca="1" si="26"/>
        <v>5204.7274358571594</v>
      </c>
      <c r="AK17" s="106">
        <f t="shared" ca="1" si="26"/>
        <v>5645.2555366182442</v>
      </c>
      <c r="AL17" s="106">
        <f t="shared" ca="1" si="26"/>
        <v>6051.9791769006524</v>
      </c>
      <c r="AM17" s="106">
        <f t="shared" ca="1" si="26"/>
        <v>6472.4115273999632</v>
      </c>
      <c r="AN17" s="106">
        <f t="shared" ca="1" si="25"/>
        <v>6788.6348439536714</v>
      </c>
      <c r="AO17" s="6"/>
      <c r="AP17" s="160">
        <f ca="1">+(AM17/AC17)^(0.1)-1</f>
        <v>0.11012097697019563</v>
      </c>
      <c r="AQ17" s="160">
        <f t="shared" ref="AQ17" si="27">+(AC17/S17)^(1/10)-1</f>
        <v>0.19115090343250696</v>
      </c>
    </row>
    <row r="18" spans="2:43" outlineLevel="1">
      <c r="B18" s="262" t="s">
        <v>195</v>
      </c>
      <c r="E18" s="138" t="s">
        <v>195</v>
      </c>
      <c r="F18" s="38"/>
      <c r="G18" s="38"/>
      <c r="H18" s="137"/>
      <c r="I18" s="137"/>
      <c r="J18" s="137"/>
      <c r="K18" s="137"/>
      <c r="L18" s="137"/>
      <c r="M18" s="137"/>
      <c r="N18" s="137"/>
      <c r="O18" s="137"/>
      <c r="P18" s="137"/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6"/>
    </row>
    <row r="19" spans="2:43" outlineLevel="1">
      <c r="E19" s="2" t="s">
        <v>1</v>
      </c>
      <c r="F19" s="127"/>
      <c r="G19" s="127"/>
      <c r="H19" s="106"/>
      <c r="I19" s="106"/>
      <c r="J19" s="106"/>
      <c r="K19" s="106"/>
      <c r="L19" s="106"/>
      <c r="M19" s="106"/>
      <c r="N19" s="106"/>
      <c r="O19" s="106"/>
      <c r="P19" s="106"/>
      <c r="Q19" s="106">
        <f t="shared" ref="Q19" si="28">Q17-Q18</f>
        <v>145</v>
      </c>
      <c r="R19" s="106">
        <f t="shared" ref="R19" si="29">R17-R18</f>
        <v>197</v>
      </c>
      <c r="S19" s="106">
        <f t="shared" ref="S19" si="30">S17-S18</f>
        <v>396</v>
      </c>
      <c r="T19" s="106">
        <f t="shared" ref="T19" si="31">T17-T18</f>
        <v>591</v>
      </c>
      <c r="U19" s="106">
        <f t="shared" ref="U19" si="32">U17-U18</f>
        <v>1078</v>
      </c>
      <c r="V19" s="106">
        <f t="shared" ref="V19" si="33">V17-V18</f>
        <v>1391</v>
      </c>
      <c r="W19" s="106">
        <f t="shared" ref="W19" si="34">W17-W18</f>
        <v>1518</v>
      </c>
      <c r="X19" s="106">
        <f t="shared" ref="X19" si="35">X17-X18</f>
        <v>1415</v>
      </c>
      <c r="Y19" s="106">
        <f t="shared" ref="Y19:AN19" si="36">Y17-Y18</f>
        <v>1507</v>
      </c>
      <c r="Z19" s="106">
        <f t="shared" si="36"/>
        <v>1951</v>
      </c>
      <c r="AA19" s="106">
        <f t="shared" si="36"/>
        <v>2152</v>
      </c>
      <c r="AB19" s="106">
        <f t="shared" si="36"/>
        <v>1800</v>
      </c>
      <c r="AC19" s="106">
        <f t="shared" si="36"/>
        <v>2277</v>
      </c>
      <c r="AD19" s="106">
        <f>AD17-AD18</f>
        <v>3044.8882612157977</v>
      </c>
      <c r="AE19" s="106">
        <f ca="1">AE17-AE18</f>
        <v>3456.940521688748</v>
      </c>
      <c r="AF19" s="106">
        <f t="shared" ca="1" si="36"/>
        <v>3759.9609476355636</v>
      </c>
      <c r="AG19" s="106">
        <f t="shared" ca="1" si="36"/>
        <v>4067.6859433072086</v>
      </c>
      <c r="AH19" s="106">
        <f t="shared" ca="1" si="36"/>
        <v>4419.9173713473947</v>
      </c>
      <c r="AI19" s="106">
        <f t="shared" ca="1" si="36"/>
        <v>4783.4325985160231</v>
      </c>
      <c r="AJ19" s="106">
        <f t="shared" ca="1" si="36"/>
        <v>5204.7274358571594</v>
      </c>
      <c r="AK19" s="106">
        <f t="shared" ca="1" si="36"/>
        <v>5645.2555366182442</v>
      </c>
      <c r="AL19" s="106">
        <f t="shared" ca="1" si="36"/>
        <v>6051.9791769006524</v>
      </c>
      <c r="AM19" s="106">
        <f t="shared" ca="1" si="36"/>
        <v>6472.4115273999632</v>
      </c>
      <c r="AN19" s="106">
        <f t="shared" ca="1" si="36"/>
        <v>6788.6348439536714</v>
      </c>
      <c r="AO19" s="6"/>
    </row>
    <row r="20" spans="2:43" outlineLevel="1">
      <c r="B20" s="262" t="s">
        <v>68</v>
      </c>
      <c r="E20" s="138" t="s">
        <v>68</v>
      </c>
      <c r="F20" s="38"/>
      <c r="G20" s="38"/>
      <c r="H20" s="137"/>
      <c r="I20" s="137"/>
      <c r="J20" s="137"/>
      <c r="K20" s="137"/>
      <c r="L20" s="137"/>
      <c r="M20" s="137"/>
      <c r="N20" s="137"/>
      <c r="O20" s="137"/>
      <c r="P20" s="137"/>
      <c r="Q20" s="161">
        <v>226</v>
      </c>
      <c r="R20" s="161">
        <v>255</v>
      </c>
      <c r="S20" s="161">
        <v>228</v>
      </c>
      <c r="T20" s="161">
        <v>512</v>
      </c>
      <c r="U20" s="161">
        <v>475</v>
      </c>
      <c r="V20" s="161">
        <v>555</v>
      </c>
      <c r="W20" s="161">
        <v>567</v>
      </c>
      <c r="X20" s="161">
        <v>511</v>
      </c>
      <c r="Y20" s="161">
        <v>464</v>
      </c>
      <c r="Z20" s="161">
        <v>481</v>
      </c>
      <c r="AA20" s="161">
        <v>648</v>
      </c>
      <c r="AB20" s="161">
        <v>669</v>
      </c>
      <c r="AC20" s="161">
        <v>424</v>
      </c>
      <c r="AD20" s="49">
        <f ca="1">SUM(AD261:AD262)</f>
        <v>475.64416098361272</v>
      </c>
      <c r="AE20" s="49">
        <f ca="1">SUM(AE261:AE262)</f>
        <v>555.08401178165798</v>
      </c>
      <c r="AF20" s="49">
        <f ca="1">SUM(AF261:AF262)</f>
        <v>611.5833310599603</v>
      </c>
      <c r="AG20" s="49">
        <f t="shared" ref="AG20:AN20" ca="1" si="37">SUM(AG261:AG262)</f>
        <v>646.07075618460124</v>
      </c>
      <c r="AH20" s="49">
        <f t="shared" ca="1" si="37"/>
        <v>683.71201337330774</v>
      </c>
      <c r="AI20" s="49">
        <f t="shared" ca="1" si="37"/>
        <v>724.7000086641325</v>
      </c>
      <c r="AJ20" s="49">
        <f t="shared" ca="1" si="37"/>
        <v>769.54124518984929</v>
      </c>
      <c r="AK20" s="49">
        <f t="shared" ca="1" si="37"/>
        <v>818.57231668581721</v>
      </c>
      <c r="AL20" s="49">
        <f t="shared" ca="1" si="37"/>
        <v>867.53523351082026</v>
      </c>
      <c r="AM20" s="49">
        <f t="shared" ca="1" si="37"/>
        <v>915.58993894843297</v>
      </c>
      <c r="AN20" s="49">
        <f t="shared" ca="1" si="37"/>
        <v>959.10720282314844</v>
      </c>
      <c r="AO20" s="6"/>
    </row>
    <row r="21" spans="2:43" outlineLevel="1">
      <c r="B21" s="262" t="s">
        <v>204</v>
      </c>
      <c r="E21" s="138" t="s">
        <v>204</v>
      </c>
      <c r="F21" s="38"/>
      <c r="G21" s="38"/>
      <c r="H21" s="137"/>
      <c r="I21" s="137"/>
      <c r="J21" s="137"/>
      <c r="K21" s="137"/>
      <c r="L21" s="137"/>
      <c r="M21" s="137"/>
      <c r="N21" s="137"/>
      <c r="O21" s="137"/>
      <c r="P21" s="137"/>
      <c r="Q21" s="161">
        <v>-5</v>
      </c>
      <c r="R21" s="161">
        <v>5</v>
      </c>
      <c r="S21" s="161">
        <v>4</v>
      </c>
      <c r="T21" s="161">
        <v>-9</v>
      </c>
      <c r="U21" s="161">
        <v>-2</v>
      </c>
      <c r="V21" s="161">
        <v>-14</v>
      </c>
      <c r="W21" s="161">
        <v>-12</v>
      </c>
      <c r="X21" s="161">
        <v>-5</v>
      </c>
      <c r="Y21" s="161">
        <v>-5</v>
      </c>
      <c r="Z21" s="161">
        <v>-6</v>
      </c>
      <c r="AA21" s="161">
        <v>-10</v>
      </c>
      <c r="AB21" s="161">
        <v>-8</v>
      </c>
      <c r="AC21" s="161">
        <v>7</v>
      </c>
      <c r="AD21" s="49">
        <f>+AD263</f>
        <v>0</v>
      </c>
      <c r="AE21" s="49">
        <f>+AE263</f>
        <v>0</v>
      </c>
      <c r="AF21" s="49">
        <f>+AF263</f>
        <v>0</v>
      </c>
      <c r="AG21" s="49">
        <f t="shared" ref="AG21:AN21" si="38">+AG263</f>
        <v>0</v>
      </c>
      <c r="AH21" s="49">
        <f t="shared" si="38"/>
        <v>0</v>
      </c>
      <c r="AI21" s="49">
        <f t="shared" si="38"/>
        <v>0</v>
      </c>
      <c r="AJ21" s="49">
        <f t="shared" si="38"/>
        <v>0</v>
      </c>
      <c r="AK21" s="49">
        <f t="shared" si="38"/>
        <v>0</v>
      </c>
      <c r="AL21" s="49">
        <f t="shared" si="38"/>
        <v>0</v>
      </c>
      <c r="AM21" s="49">
        <f t="shared" si="38"/>
        <v>0</v>
      </c>
      <c r="AN21" s="49">
        <f t="shared" si="38"/>
        <v>0</v>
      </c>
      <c r="AO21" s="6"/>
    </row>
    <row r="22" spans="2:43" outlineLevel="1">
      <c r="E22" s="2" t="s">
        <v>69</v>
      </c>
      <c r="F22" s="127"/>
      <c r="G22" s="127"/>
      <c r="H22" s="106"/>
      <c r="I22" s="106"/>
      <c r="J22" s="106"/>
      <c r="K22" s="106"/>
      <c r="L22" s="106"/>
      <c r="M22" s="106"/>
      <c r="N22" s="106"/>
      <c r="O22" s="106"/>
      <c r="P22" s="106"/>
      <c r="Q22" s="106">
        <f t="shared" ref="Q22" si="39">Q19-SUM(Q20:Q21)</f>
        <v>-76</v>
      </c>
      <c r="R22" s="106">
        <f t="shared" ref="R22" si="40">R19-SUM(R20:R21)</f>
        <v>-63</v>
      </c>
      <c r="S22" s="106">
        <f t="shared" ref="S22" si="41">S19-SUM(S20:S21)</f>
        <v>164</v>
      </c>
      <c r="T22" s="106">
        <f t="shared" ref="T22" si="42">T19-SUM(T20:T21)</f>
        <v>88</v>
      </c>
      <c r="U22" s="106">
        <f t="shared" ref="U22" si="43">U19-SUM(U20:U21)</f>
        <v>605</v>
      </c>
      <c r="V22" s="106">
        <f t="shared" ref="V22" si="44">V19-SUM(V20:V21)</f>
        <v>850</v>
      </c>
      <c r="W22" s="106">
        <f t="shared" ref="W22" si="45">W19-SUM(W20:W21)</f>
        <v>963</v>
      </c>
      <c r="X22" s="106">
        <f t="shared" ref="X22" si="46">X19-SUM(X20:X21)</f>
        <v>909</v>
      </c>
      <c r="Y22" s="106">
        <f t="shared" ref="Y22:AC22" si="47">Y19-SUM(Y20:Y21)</f>
        <v>1048</v>
      </c>
      <c r="Z22" s="106">
        <f t="shared" si="47"/>
        <v>1476</v>
      </c>
      <c r="AA22" s="106">
        <f t="shared" si="47"/>
        <v>1514</v>
      </c>
      <c r="AB22" s="106">
        <f t="shared" si="47"/>
        <v>1139</v>
      </c>
      <c r="AC22" s="106">
        <f t="shared" si="47"/>
        <v>1846</v>
      </c>
      <c r="AD22" s="106">
        <f t="shared" ref="AD22:AN22" ca="1" si="48">AD19-SUM(AD20:AD21)</f>
        <v>2569.2441002321848</v>
      </c>
      <c r="AE22" s="106">
        <f t="shared" ca="1" si="48"/>
        <v>2901.8565099070902</v>
      </c>
      <c r="AF22" s="106">
        <f t="shared" ca="1" si="48"/>
        <v>3148.3776165756035</v>
      </c>
      <c r="AG22" s="106">
        <f t="shared" ca="1" si="48"/>
        <v>3421.6151871226075</v>
      </c>
      <c r="AH22" s="106">
        <f t="shared" ca="1" si="48"/>
        <v>3736.2053579740868</v>
      </c>
      <c r="AI22" s="106">
        <f t="shared" ca="1" si="48"/>
        <v>4058.7325898518907</v>
      </c>
      <c r="AJ22" s="106">
        <f t="shared" ca="1" si="48"/>
        <v>4435.1861906673103</v>
      </c>
      <c r="AK22" s="106">
        <f t="shared" ca="1" si="48"/>
        <v>4826.6832199324272</v>
      </c>
      <c r="AL22" s="106">
        <f t="shared" ca="1" si="48"/>
        <v>5184.4439433898324</v>
      </c>
      <c r="AM22" s="106">
        <f t="shared" ca="1" si="48"/>
        <v>5556.8215884515303</v>
      </c>
      <c r="AN22" s="106">
        <f t="shared" ca="1" si="48"/>
        <v>5829.5276411305231</v>
      </c>
      <c r="AO22" s="6"/>
    </row>
    <row r="23" spans="2:43" outlineLevel="1">
      <c r="B23" s="262" t="s">
        <v>197</v>
      </c>
      <c r="E23" s="138" t="s">
        <v>197</v>
      </c>
      <c r="F23" s="38"/>
      <c r="G23" s="38"/>
      <c r="H23" s="137"/>
      <c r="I23" s="137"/>
      <c r="J23" s="137"/>
      <c r="K23" s="137"/>
      <c r="L23" s="137"/>
      <c r="M23" s="137"/>
      <c r="N23" s="137"/>
      <c r="O23" s="137"/>
      <c r="P23" s="137"/>
      <c r="Q23" s="161">
        <v>-51</v>
      </c>
      <c r="R23" s="161">
        <v>17</v>
      </c>
      <c r="S23" s="161">
        <v>24</v>
      </c>
      <c r="T23" s="161">
        <v>29</v>
      </c>
      <c r="U23" s="161">
        <v>51</v>
      </c>
      <c r="V23" s="161">
        <v>49</v>
      </c>
      <c r="W23" s="161">
        <v>42</v>
      </c>
      <c r="X23" s="161">
        <v>220</v>
      </c>
      <c r="Y23" s="161">
        <v>235</v>
      </c>
      <c r="Z23" s="161">
        <v>123</v>
      </c>
      <c r="AA23" s="161">
        <v>136</v>
      </c>
      <c r="AB23" s="161">
        <v>370</v>
      </c>
      <c r="AC23" s="161">
        <v>192</v>
      </c>
      <c r="AD23" s="49">
        <f t="shared" ref="AD23:AF24" ca="1" si="49">-AD120</f>
        <v>385.38661503482768</v>
      </c>
      <c r="AE23" s="49">
        <f t="shared" ca="1" si="49"/>
        <v>290.18565099070901</v>
      </c>
      <c r="AF23" s="49">
        <f t="shared" ca="1" si="49"/>
        <v>409.28909015482844</v>
      </c>
      <c r="AG23" s="49">
        <f t="shared" ref="AG23:AN23" ca="1" si="50">-AG120</f>
        <v>547.45842993961719</v>
      </c>
      <c r="AH23" s="49">
        <f t="shared" ca="1" si="50"/>
        <v>709.87901801507667</v>
      </c>
      <c r="AI23" s="49">
        <f t="shared" ca="1" si="50"/>
        <v>892.92116976741636</v>
      </c>
      <c r="AJ23" s="49">
        <f t="shared" ca="1" si="50"/>
        <v>1108.7965476668276</v>
      </c>
      <c r="AK23" s="49">
        <f t="shared" ca="1" si="50"/>
        <v>1206.6708049831072</v>
      </c>
      <c r="AL23" s="49">
        <f t="shared" ca="1" si="50"/>
        <v>1296.1109858474579</v>
      </c>
      <c r="AM23" s="49">
        <f t="shared" ca="1" si="50"/>
        <v>1389.2053971128828</v>
      </c>
      <c r="AN23" s="49">
        <f t="shared" ca="1" si="50"/>
        <v>1457.3819102826308</v>
      </c>
      <c r="AO23" s="6"/>
    </row>
    <row r="24" spans="2:43" outlineLevel="1">
      <c r="B24" s="262" t="s">
        <v>72</v>
      </c>
      <c r="E24" s="138" t="s">
        <v>72</v>
      </c>
      <c r="F24" s="38"/>
      <c r="G24" s="38"/>
      <c r="H24" s="137"/>
      <c r="I24" s="137"/>
      <c r="J24" s="137"/>
      <c r="K24" s="137"/>
      <c r="L24" s="137"/>
      <c r="M24" s="137"/>
      <c r="N24" s="137"/>
      <c r="O24" s="137"/>
      <c r="P24" s="137"/>
      <c r="Q24" s="161">
        <v>4</v>
      </c>
      <c r="R24" s="161">
        <v>-58</v>
      </c>
      <c r="S24" s="161">
        <v>39</v>
      </c>
      <c r="T24" s="161">
        <v>-16</v>
      </c>
      <c r="U24" s="161">
        <v>167</v>
      </c>
      <c r="V24" s="161">
        <v>261</v>
      </c>
      <c r="W24" s="161">
        <v>336</v>
      </c>
      <c r="X24" s="161">
        <v>123</v>
      </c>
      <c r="Y24" s="161">
        <v>-533</v>
      </c>
      <c r="Z24" s="161">
        <v>257</v>
      </c>
      <c r="AA24" s="161">
        <v>204</v>
      </c>
      <c r="AB24" s="161">
        <v>-121</v>
      </c>
      <c r="AC24" s="161">
        <v>268</v>
      </c>
      <c r="AD24" s="49">
        <f t="shared" ca="1" si="49"/>
        <v>231.23196902089663</v>
      </c>
      <c r="AE24" s="49">
        <f t="shared" ca="1" si="49"/>
        <v>435.27847648606343</v>
      </c>
      <c r="AF24" s="49">
        <f t="shared" ca="1" si="49"/>
        <v>377.80531398907243</v>
      </c>
      <c r="AG24" s="49">
        <f t="shared" ref="AG24:AN24" ca="1" si="51">-AG121</f>
        <v>307.94536684103463</v>
      </c>
      <c r="AH24" s="49">
        <f t="shared" ca="1" si="51"/>
        <v>224.17232147844527</v>
      </c>
      <c r="AI24" s="49">
        <f t="shared" ca="1" si="51"/>
        <v>121.76197769555677</v>
      </c>
      <c r="AJ24" s="49">
        <f t="shared" ca="1" si="51"/>
        <v>0</v>
      </c>
      <c r="AK24" s="49">
        <f t="shared" ca="1" si="51"/>
        <v>0</v>
      </c>
      <c r="AL24" s="49">
        <f t="shared" ca="1" si="51"/>
        <v>0</v>
      </c>
      <c r="AM24" s="49">
        <f t="shared" ca="1" si="51"/>
        <v>0</v>
      </c>
      <c r="AN24" s="49">
        <f t="shared" ca="1" si="51"/>
        <v>0</v>
      </c>
      <c r="AO24" s="6"/>
    </row>
    <row r="25" spans="2:43" outlineLevel="1">
      <c r="E25" s="2" t="s">
        <v>74</v>
      </c>
      <c r="F25" s="127"/>
      <c r="G25" s="127"/>
      <c r="H25" s="106"/>
      <c r="I25" s="106"/>
      <c r="J25" s="106"/>
      <c r="K25" s="106"/>
      <c r="L25" s="106"/>
      <c r="M25" s="106"/>
      <c r="N25" s="106"/>
      <c r="O25" s="106"/>
      <c r="P25" s="106"/>
      <c r="Q25" s="106">
        <f t="shared" ref="Q25" si="52">Q22-SUM(Q23:Q24)</f>
        <v>-29</v>
      </c>
      <c r="R25" s="106">
        <f t="shared" ref="R25" si="53">R22-SUM(R23:R24)</f>
        <v>-22</v>
      </c>
      <c r="S25" s="106">
        <f t="shared" ref="S25" si="54">S22-SUM(S23:S24)</f>
        <v>101</v>
      </c>
      <c r="T25" s="106">
        <f t="shared" ref="T25" si="55">T22-SUM(T23:T24)</f>
        <v>75</v>
      </c>
      <c r="U25" s="106">
        <f t="shared" ref="U25" si="56">U22-SUM(U23:U24)</f>
        <v>387</v>
      </c>
      <c r="V25" s="106">
        <f t="shared" ref="V25" si="57">V22-SUM(V23:V24)</f>
        <v>540</v>
      </c>
      <c r="W25" s="106">
        <f t="shared" ref="W25" si="58">W22-SUM(W23:W24)</f>
        <v>585</v>
      </c>
      <c r="X25" s="106">
        <f t="shared" ref="X25" si="59">X22-SUM(X23:X24)</f>
        <v>566</v>
      </c>
      <c r="Y25" s="106">
        <f t="shared" ref="Y25:AN25" si="60">Y22-SUM(Y23:Y24)</f>
        <v>1346</v>
      </c>
      <c r="Z25" s="106">
        <f t="shared" si="60"/>
        <v>1096</v>
      </c>
      <c r="AA25" s="106">
        <f t="shared" si="60"/>
        <v>1174</v>
      </c>
      <c r="AB25" s="106">
        <f t="shared" si="60"/>
        <v>890</v>
      </c>
      <c r="AC25" s="106">
        <f t="shared" si="60"/>
        <v>1386</v>
      </c>
      <c r="AD25" s="106">
        <f t="shared" ca="1" si="60"/>
        <v>1952.6255161764605</v>
      </c>
      <c r="AE25" s="106">
        <f t="shared" ca="1" si="60"/>
        <v>2176.3923824303179</v>
      </c>
      <c r="AF25" s="106">
        <f t="shared" ca="1" si="60"/>
        <v>2361.2832124317029</v>
      </c>
      <c r="AG25" s="106">
        <f t="shared" ca="1" si="60"/>
        <v>2566.2113903419558</v>
      </c>
      <c r="AH25" s="106">
        <f t="shared" ca="1" si="60"/>
        <v>2802.1540184805649</v>
      </c>
      <c r="AI25" s="106">
        <f t="shared" ca="1" si="60"/>
        <v>3044.0494423889177</v>
      </c>
      <c r="AJ25" s="106">
        <f t="shared" ca="1" si="60"/>
        <v>3326.3896430004825</v>
      </c>
      <c r="AK25" s="106">
        <f t="shared" ca="1" si="60"/>
        <v>3620.0124149493199</v>
      </c>
      <c r="AL25" s="106">
        <f t="shared" ca="1" si="60"/>
        <v>3888.3329575423745</v>
      </c>
      <c r="AM25" s="106">
        <f t="shared" ca="1" si="60"/>
        <v>4167.6161913386477</v>
      </c>
      <c r="AN25" s="106">
        <f t="shared" ca="1" si="60"/>
        <v>4372.1457308478921</v>
      </c>
      <c r="AO25" s="6"/>
      <c r="AP25" s="160">
        <f ca="1">+(AM25/AC25)^(0.1)-1</f>
        <v>0.11638103118897258</v>
      </c>
      <c r="AQ25" s="160">
        <f t="shared" ref="AQ25" si="61">+(AC25/S25)^(1/10)-1</f>
        <v>0.29940395905247041</v>
      </c>
    </row>
    <row r="26" spans="2:43" outlineLevel="1">
      <c r="E26" s="109"/>
      <c r="F26" s="38"/>
      <c r="G26" s="38"/>
      <c r="H26" s="119"/>
      <c r="I26" s="119"/>
      <c r="J26" s="119"/>
      <c r="K26" s="119"/>
      <c r="L26" s="119"/>
      <c r="M26" s="118"/>
      <c r="N26" s="118"/>
      <c r="O26" s="118"/>
      <c r="P26" s="118"/>
      <c r="Q26" s="118"/>
      <c r="R26" s="53"/>
      <c r="S26" s="53"/>
      <c r="T26" s="53"/>
      <c r="U26" s="53"/>
      <c r="V26" s="53"/>
      <c r="W26" s="53"/>
      <c r="X26" s="53"/>
      <c r="Y26" s="53"/>
      <c r="Z26" s="53"/>
      <c r="AA26" s="51"/>
      <c r="AB26" s="53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6"/>
    </row>
    <row r="27" spans="2:43" outlineLevel="1">
      <c r="E27" s="138" t="s">
        <v>278</v>
      </c>
      <c r="F27" s="38"/>
      <c r="G27" s="38"/>
      <c r="H27" s="119"/>
      <c r="I27" s="119"/>
      <c r="J27" s="119"/>
      <c r="K27" s="119"/>
      <c r="L27" s="119"/>
      <c r="M27" s="118"/>
      <c r="N27" s="118"/>
      <c r="O27" s="118"/>
      <c r="P27" s="118"/>
      <c r="Q27" s="118"/>
      <c r="R27" s="53"/>
      <c r="S27" s="53"/>
      <c r="T27" s="53"/>
      <c r="U27" s="53"/>
      <c r="V27" s="53"/>
      <c r="W27" s="53"/>
      <c r="X27" s="53"/>
      <c r="Y27" s="177" t="s">
        <v>36</v>
      </c>
      <c r="Z27" s="177" t="s">
        <v>36</v>
      </c>
      <c r="AA27" s="177">
        <v>0.17699999999999999</v>
      </c>
      <c r="AB27" s="177">
        <v>-2.1999999999999999E-2</v>
      </c>
      <c r="AC27" s="177">
        <v>0.04</v>
      </c>
      <c r="AD27" s="118">
        <f>+AD47/AC47-1</f>
        <v>0.14744673655732154</v>
      </c>
      <c r="AE27" s="118">
        <f t="shared" ref="AE27:AN27" si="62">+AE47/AD47-1</f>
        <v>0.11623097376952551</v>
      </c>
      <c r="AF27" s="118">
        <f t="shared" si="62"/>
        <v>8.5421913917910874E-2</v>
      </c>
      <c r="AG27" s="118">
        <f t="shared" si="62"/>
        <v>8.1060249666289996E-2</v>
      </c>
      <c r="AH27" s="118">
        <f t="shared" si="62"/>
        <v>7.7231641050581112E-2</v>
      </c>
      <c r="AI27" s="118">
        <f t="shared" si="62"/>
        <v>7.3845389655021743E-2</v>
      </c>
      <c r="AJ27" s="118">
        <f t="shared" si="62"/>
        <v>7.083026297585282E-2</v>
      </c>
      <c r="AK27" s="118">
        <f t="shared" si="62"/>
        <v>6.8129537787235295E-2</v>
      </c>
      <c r="AL27" s="118">
        <f t="shared" si="62"/>
        <v>6.5697484657362359E-2</v>
      </c>
      <c r="AM27" s="118">
        <f t="shared" si="62"/>
        <v>6.3496827356066765E-2</v>
      </c>
      <c r="AN27" s="118">
        <f t="shared" si="62"/>
        <v>6.149687567883233E-2</v>
      </c>
      <c r="AO27" s="6"/>
    </row>
    <row r="28" spans="2:43" outlineLevel="1">
      <c r="E28" s="138" t="s">
        <v>279</v>
      </c>
      <c r="F28" s="38"/>
      <c r="G28" s="38"/>
      <c r="H28" s="119"/>
      <c r="I28" s="119"/>
      <c r="J28" s="119"/>
      <c r="K28" s="119"/>
      <c r="L28" s="119"/>
      <c r="M28" s="118"/>
      <c r="N28" s="118"/>
      <c r="O28" s="118"/>
      <c r="P28" s="118"/>
      <c r="Q28" s="118"/>
      <c r="R28" s="53"/>
      <c r="S28" s="53"/>
      <c r="T28" s="53"/>
      <c r="U28" s="53"/>
      <c r="V28" s="53"/>
      <c r="W28" s="53"/>
      <c r="X28" s="53"/>
      <c r="Y28" s="177" t="s">
        <v>36</v>
      </c>
      <c r="Z28" s="177" t="s">
        <v>36</v>
      </c>
      <c r="AA28" s="177">
        <v>-1.4999999999999999E-2</v>
      </c>
      <c r="AB28" s="177">
        <v>-1.4999999999999999E-2</v>
      </c>
      <c r="AC28" s="177">
        <v>-1.4999999999999999E-2</v>
      </c>
      <c r="AD28" s="186">
        <v>0.02</v>
      </c>
      <c r="AE28" s="186">
        <v>-1.4999999999999999E-2</v>
      </c>
      <c r="AF28" s="186">
        <v>-1.4999999999999999E-2</v>
      </c>
      <c r="AG28" s="186">
        <v>-1.4999999999999999E-2</v>
      </c>
      <c r="AH28" s="186">
        <v>-1.4999999999999999E-2</v>
      </c>
      <c r="AI28" s="186">
        <v>-1.4999999999999999E-2</v>
      </c>
      <c r="AJ28" s="186">
        <v>-1.4999999999999999E-2</v>
      </c>
      <c r="AK28" s="186">
        <v>-1.4999999999999999E-2</v>
      </c>
      <c r="AL28" s="186">
        <v>-1.4999999999999999E-2</v>
      </c>
      <c r="AM28" s="186">
        <v>-1.4999999999999999E-2</v>
      </c>
      <c r="AN28" s="186">
        <v>-1.4999999999999999E-2</v>
      </c>
      <c r="AO28" s="6"/>
    </row>
    <row r="29" spans="2:43" outlineLevel="1">
      <c r="E29" s="138" t="s">
        <v>280</v>
      </c>
      <c r="F29" s="38"/>
      <c r="G29" s="38"/>
      <c r="H29" s="119"/>
      <c r="I29" s="119"/>
      <c r="J29" s="119"/>
      <c r="K29" s="119"/>
      <c r="L29" s="119"/>
      <c r="M29" s="118"/>
      <c r="N29" s="118"/>
      <c r="O29" s="118"/>
      <c r="P29" s="118"/>
      <c r="Q29" s="118"/>
      <c r="R29" s="53"/>
      <c r="S29" s="53"/>
      <c r="T29" s="53"/>
      <c r="U29" s="53"/>
      <c r="V29" s="53"/>
      <c r="W29" s="53"/>
      <c r="X29" s="53"/>
      <c r="Y29" s="177" t="s">
        <v>36</v>
      </c>
      <c r="Z29" s="177" t="s">
        <v>36</v>
      </c>
      <c r="AA29" s="177">
        <v>-2.1999999999999999E-2</v>
      </c>
      <c r="AB29" s="177">
        <v>-6.9000000000000006E-2</v>
      </c>
      <c r="AC29" s="177">
        <v>0.104</v>
      </c>
      <c r="AD29" s="185">
        <v>0.01</v>
      </c>
      <c r="AE29" s="185">
        <v>0</v>
      </c>
      <c r="AF29" s="185">
        <v>-0.01</v>
      </c>
      <c r="AG29" s="185">
        <v>-0.01</v>
      </c>
      <c r="AH29" s="185">
        <v>0</v>
      </c>
      <c r="AI29" s="185">
        <v>0</v>
      </c>
      <c r="AJ29" s="185">
        <v>0.01</v>
      </c>
      <c r="AK29" s="185">
        <v>0.01</v>
      </c>
      <c r="AL29" s="185">
        <v>0</v>
      </c>
      <c r="AM29" s="185">
        <v>0</v>
      </c>
      <c r="AN29" s="185">
        <v>0</v>
      </c>
      <c r="AO29" s="6"/>
    </row>
    <row r="30" spans="2:43" outlineLevel="1">
      <c r="E30" s="138" t="s">
        <v>283</v>
      </c>
      <c r="F30" s="38"/>
      <c r="G30" s="38"/>
      <c r="H30" s="119"/>
      <c r="I30" s="119"/>
      <c r="J30" s="119"/>
      <c r="K30" s="119"/>
      <c r="L30" s="119"/>
      <c r="M30" s="118"/>
      <c r="N30" s="118"/>
      <c r="O30" s="118"/>
      <c r="P30" s="118"/>
      <c r="Q30" s="118"/>
      <c r="R30" s="53"/>
      <c r="S30" s="53"/>
      <c r="T30" s="53"/>
      <c r="U30" s="53"/>
      <c r="V30" s="53"/>
      <c r="W30" s="53"/>
      <c r="X30" s="53"/>
      <c r="Y30" s="177" t="s">
        <v>36</v>
      </c>
      <c r="Z30" s="177" t="s">
        <v>36</v>
      </c>
      <c r="AA30" s="177">
        <v>8.0000000000000002E-3</v>
      </c>
      <c r="AB30" s="177">
        <v>3.0000000000000001E-3</v>
      </c>
      <c r="AC30" s="177">
        <v>0.02</v>
      </c>
      <c r="AD30" s="185">
        <v>0.01</v>
      </c>
      <c r="AE30" s="185"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v>0</v>
      </c>
      <c r="AK30" s="185">
        <v>0</v>
      </c>
      <c r="AL30" s="185">
        <v>0</v>
      </c>
      <c r="AM30" s="185">
        <v>0</v>
      </c>
      <c r="AN30" s="185">
        <v>0</v>
      </c>
      <c r="AO30" s="6"/>
    </row>
    <row r="31" spans="2:43" outlineLevel="1">
      <c r="E31" s="138" t="s">
        <v>281</v>
      </c>
      <c r="F31" s="38"/>
      <c r="G31" s="38"/>
      <c r="H31" s="119"/>
      <c r="I31" s="119"/>
      <c r="J31" s="119"/>
      <c r="K31" s="119"/>
      <c r="L31" s="119"/>
      <c r="M31" s="118"/>
      <c r="N31" s="118"/>
      <c r="O31" s="118"/>
      <c r="P31" s="118"/>
      <c r="Q31" s="118"/>
      <c r="R31" s="53"/>
      <c r="S31" s="53"/>
      <c r="T31" s="53"/>
      <c r="U31" s="53"/>
      <c r="V31" s="53"/>
      <c r="W31" s="53"/>
      <c r="X31" s="53"/>
      <c r="Y31" s="177">
        <v>0.182</v>
      </c>
      <c r="Z31" s="177">
        <v>0.188</v>
      </c>
      <c r="AA31" s="177" t="s">
        <v>36</v>
      </c>
      <c r="AB31" s="177" t="s">
        <v>36</v>
      </c>
      <c r="AC31" s="177" t="s">
        <v>36</v>
      </c>
      <c r="AD31" s="167" t="s">
        <v>36</v>
      </c>
      <c r="AE31" s="167" t="s">
        <v>36</v>
      </c>
      <c r="AF31" s="167" t="s">
        <v>36</v>
      </c>
      <c r="AG31" s="167" t="s">
        <v>36</v>
      </c>
      <c r="AH31" s="167" t="s">
        <v>36</v>
      </c>
      <c r="AI31" s="167" t="s">
        <v>36</v>
      </c>
      <c r="AJ31" s="167" t="s">
        <v>36</v>
      </c>
      <c r="AK31" s="167" t="s">
        <v>36</v>
      </c>
      <c r="AL31" s="167" t="s">
        <v>36</v>
      </c>
      <c r="AM31" s="167" t="s">
        <v>36</v>
      </c>
      <c r="AN31" s="167" t="s">
        <v>36</v>
      </c>
      <c r="AO31" s="6"/>
      <c r="AP31" s="150"/>
    </row>
    <row r="32" spans="2:43" outlineLevel="1">
      <c r="B32" s="262" t="s">
        <v>212</v>
      </c>
      <c r="E32" s="138" t="s">
        <v>282</v>
      </c>
      <c r="F32" s="38"/>
      <c r="G32" s="38"/>
      <c r="H32" s="119"/>
      <c r="I32" s="119"/>
      <c r="J32" s="119"/>
      <c r="K32" s="119"/>
      <c r="L32" s="119"/>
      <c r="M32" s="118"/>
      <c r="N32" s="118"/>
      <c r="O32" s="118"/>
      <c r="P32" s="118"/>
      <c r="Q32" s="118"/>
      <c r="R32" s="53"/>
      <c r="S32" s="53"/>
      <c r="T32" s="53"/>
      <c r="U32" s="53"/>
      <c r="V32" s="53"/>
      <c r="W32" s="53"/>
      <c r="X32" s="53"/>
      <c r="Y32" s="177">
        <v>-2E-3</v>
      </c>
      <c r="Z32" s="177">
        <v>2.1999999999999999E-2</v>
      </c>
      <c r="AA32" s="177" t="s">
        <v>36</v>
      </c>
      <c r="AB32" s="177" t="s">
        <v>36</v>
      </c>
      <c r="AC32" s="177" t="s">
        <v>36</v>
      </c>
      <c r="AD32" s="167" t="s">
        <v>36</v>
      </c>
      <c r="AE32" s="167" t="s">
        <v>36</v>
      </c>
      <c r="AF32" s="167" t="s">
        <v>36</v>
      </c>
      <c r="AG32" s="167" t="s">
        <v>36</v>
      </c>
      <c r="AH32" s="167" t="s">
        <v>36</v>
      </c>
      <c r="AI32" s="167" t="s">
        <v>36</v>
      </c>
      <c r="AJ32" s="167" t="s">
        <v>36</v>
      </c>
      <c r="AK32" s="167" t="s">
        <v>36</v>
      </c>
      <c r="AL32" s="167" t="s">
        <v>36</v>
      </c>
      <c r="AM32" s="167" t="s">
        <v>36</v>
      </c>
      <c r="AN32" s="167" t="s">
        <v>36</v>
      </c>
      <c r="AO32" s="6"/>
      <c r="AP32" s="150"/>
    </row>
    <row r="33" spans="5:51" outlineLevel="1">
      <c r="E33" s="2" t="s">
        <v>284</v>
      </c>
      <c r="F33" s="127"/>
      <c r="G33" s="127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78">
        <f t="shared" ref="R33:AC33" si="63">IFERROR(SUM(R7:R8)/SUM(Q7:Q8)-1,"na")</f>
        <v>2.1857923497268228E-3</v>
      </c>
      <c r="S33" s="178">
        <f t="shared" si="63"/>
        <v>0.17284623773173391</v>
      </c>
      <c r="T33" s="178">
        <f t="shared" si="63"/>
        <v>0.60622966062296602</v>
      </c>
      <c r="U33" s="178">
        <f t="shared" si="63"/>
        <v>0.21447178002894352</v>
      </c>
      <c r="V33" s="178">
        <f t="shared" si="63"/>
        <v>0.14847473784556731</v>
      </c>
      <c r="W33" s="178">
        <f t="shared" si="63"/>
        <v>2.6976551151691286E-2</v>
      </c>
      <c r="X33" s="178">
        <f t="shared" si="63"/>
        <v>-1.6164881794301644E-3</v>
      </c>
      <c r="Y33" s="178">
        <f t="shared" si="63"/>
        <v>0.15664845173041897</v>
      </c>
      <c r="Z33" s="178">
        <f t="shared" si="63"/>
        <v>0.21434820647419062</v>
      </c>
      <c r="AA33" s="178">
        <f t="shared" si="63"/>
        <v>0.14755043227665698</v>
      </c>
      <c r="AB33" s="178">
        <f t="shared" si="63"/>
        <v>-0.10346559517830234</v>
      </c>
      <c r="AC33" s="178">
        <f t="shared" si="63"/>
        <v>0.14943977591036406</v>
      </c>
      <c r="AD33" s="178">
        <f t="shared" ref="AD33:AN33" si="64">SUM(AD27:AD32)</f>
        <v>0.18744673655732155</v>
      </c>
      <c r="AE33" s="178">
        <f t="shared" si="64"/>
        <v>0.10123097376952551</v>
      </c>
      <c r="AF33" s="178">
        <f t="shared" si="64"/>
        <v>6.0421913917910873E-2</v>
      </c>
      <c r="AG33" s="178">
        <f t="shared" si="64"/>
        <v>5.6060249666289995E-2</v>
      </c>
      <c r="AH33" s="178">
        <f t="shared" si="64"/>
        <v>6.2231641050581113E-2</v>
      </c>
      <c r="AI33" s="178">
        <f t="shared" si="64"/>
        <v>5.8845389655021743E-2</v>
      </c>
      <c r="AJ33" s="178">
        <f t="shared" si="64"/>
        <v>6.5830262975852816E-2</v>
      </c>
      <c r="AK33" s="178">
        <f t="shared" si="64"/>
        <v>6.312953778723529E-2</v>
      </c>
      <c r="AL33" s="178">
        <f t="shared" si="64"/>
        <v>5.069748465736236E-2</v>
      </c>
      <c r="AM33" s="178">
        <f t="shared" si="64"/>
        <v>4.8496827356066766E-2</v>
      </c>
      <c r="AN33" s="178">
        <f t="shared" si="64"/>
        <v>4.6496875678832331E-2</v>
      </c>
      <c r="AO33" s="6"/>
      <c r="AS33" s="15">
        <f>+AVERAGE(AD33:AM33)</f>
        <v>7.5439101739316797E-2</v>
      </c>
      <c r="AT33" s="15">
        <f>+AVERAGE(T33:AC33)</f>
        <v>0.15590575126830664</v>
      </c>
    </row>
    <row r="34" spans="5:51" outlineLevel="1">
      <c r="E34" s="46"/>
      <c r="F34" s="64"/>
      <c r="G34" s="64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80"/>
      <c r="AG34" s="180"/>
      <c r="AH34" s="180"/>
      <c r="AI34" s="180"/>
      <c r="AJ34" s="180"/>
      <c r="AK34" s="180"/>
      <c r="AL34" s="180"/>
      <c r="AM34" s="180"/>
      <c r="AN34" s="180"/>
      <c r="AO34" s="6"/>
      <c r="AS34" s="3"/>
      <c r="AT34" s="3"/>
    </row>
    <row r="35" spans="5:51" outlineLevel="1">
      <c r="E35" s="2" t="s">
        <v>287</v>
      </c>
      <c r="F35" s="127"/>
      <c r="G35" s="127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78">
        <f t="shared" ref="R35:AN35" si="65">IFERROR(SUM(R10)/SUM(Q10)-1,"na")</f>
        <v>-5.1314673452078075E-2</v>
      </c>
      <c r="S35" s="178">
        <f t="shared" si="65"/>
        <v>0.16718819848010735</v>
      </c>
      <c r="T35" s="178">
        <f t="shared" si="65"/>
        <v>0.57679050172347757</v>
      </c>
      <c r="U35" s="178">
        <f t="shared" si="65"/>
        <v>0.20354627155695892</v>
      </c>
      <c r="V35" s="178">
        <f t="shared" si="65"/>
        <v>0.1473259334006054</v>
      </c>
      <c r="W35" s="178">
        <f t="shared" si="65"/>
        <v>2.3218997361477589E-2</v>
      </c>
      <c r="X35" s="178">
        <f t="shared" si="65"/>
        <v>-9.4550455561286384E-3</v>
      </c>
      <c r="Y35" s="178">
        <f t="shared" si="65"/>
        <v>0.15255119750086776</v>
      </c>
      <c r="Z35" s="178">
        <f t="shared" si="65"/>
        <v>0.2117151031471165</v>
      </c>
      <c r="AA35" s="178">
        <f t="shared" si="65"/>
        <v>0.16204796818690204</v>
      </c>
      <c r="AB35" s="178">
        <f t="shared" si="65"/>
        <v>-8.7798096460271591E-2</v>
      </c>
      <c r="AC35" s="178">
        <f t="shared" si="65"/>
        <v>0.13903868698710431</v>
      </c>
      <c r="AD35" s="178">
        <f t="shared" si="65"/>
        <v>0.16920598671530862</v>
      </c>
      <c r="AE35" s="178">
        <f t="shared" ca="1" si="65"/>
        <v>9.3949369183464304E-2</v>
      </c>
      <c r="AF35" s="178">
        <f t="shared" ca="1" si="65"/>
        <v>5.9000128553121867E-2</v>
      </c>
      <c r="AG35" s="178">
        <f t="shared" ca="1" si="65"/>
        <v>5.5240520551674166E-2</v>
      </c>
      <c r="AH35" s="178">
        <f t="shared" ca="1" si="65"/>
        <v>6.0585365943353064E-2</v>
      </c>
      <c r="AI35" s="178">
        <f t="shared" ca="1" si="65"/>
        <v>5.7666757401706459E-2</v>
      </c>
      <c r="AJ35" s="178">
        <f t="shared" ca="1" si="65"/>
        <v>6.3736199093763934E-2</v>
      </c>
      <c r="AK35" s="178">
        <f t="shared" ca="1" si="65"/>
        <v>6.1415159748856585E-2</v>
      </c>
      <c r="AL35" s="178">
        <f t="shared" ca="1" si="65"/>
        <v>5.0607390665714513E-2</v>
      </c>
      <c r="AM35" s="178">
        <f t="shared" ca="1" si="65"/>
        <v>4.8690879694712086E-2</v>
      </c>
      <c r="AN35" s="178">
        <f t="shared" ca="1" si="65"/>
        <v>4.6949676677186414E-2</v>
      </c>
      <c r="AO35" s="6"/>
      <c r="AS35" s="15">
        <f ca="1">+AVERAGE(AD35:AM35)</f>
        <v>7.2009775755167565E-2</v>
      </c>
      <c r="AT35" s="15">
        <f>+AVERAGE(T35:AC35)</f>
        <v>0.15189815178481098</v>
      </c>
    </row>
    <row r="36" spans="5:51" outlineLevel="1">
      <c r="E36" s="57" t="s">
        <v>285</v>
      </c>
      <c r="F36" s="64"/>
      <c r="G36" s="64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81">
        <f t="shared" ref="R36:AC36" si="66">IFERROR(SUM(R9)/SUM(Q9)-1,"na")</f>
        <v>-0.2367424242424242</v>
      </c>
      <c r="S36" s="181">
        <f t="shared" si="66"/>
        <v>0.14143920595533488</v>
      </c>
      <c r="T36" s="181">
        <f t="shared" si="66"/>
        <v>0.4391304347826086</v>
      </c>
      <c r="U36" s="181">
        <f t="shared" si="66"/>
        <v>0.1465256797583081</v>
      </c>
      <c r="V36" s="181">
        <f t="shared" si="66"/>
        <v>0.14097496706192358</v>
      </c>
      <c r="W36" s="181">
        <f t="shared" si="66"/>
        <v>2.3094688221709792E-3</v>
      </c>
      <c r="X36" s="181">
        <f t="shared" si="66"/>
        <v>-5.4147465437788034E-2</v>
      </c>
      <c r="Y36" s="181">
        <f t="shared" si="66"/>
        <v>0.12789281364190019</v>
      </c>
      <c r="Z36" s="181">
        <f t="shared" si="66"/>
        <v>0.19546436285097202</v>
      </c>
      <c r="AA36" s="181">
        <f t="shared" si="66"/>
        <v>0.25293586269196022</v>
      </c>
      <c r="AB36" s="181">
        <f t="shared" si="66"/>
        <v>2.1629416005768398E-3</v>
      </c>
      <c r="AC36" s="181">
        <f t="shared" si="66"/>
        <v>8.5611510791366863E-2</v>
      </c>
      <c r="AD36" s="252">
        <v>7.0000000000000007E-2</v>
      </c>
      <c r="AE36" s="252">
        <v>0.05</v>
      </c>
      <c r="AF36" s="252">
        <v>0.05</v>
      </c>
      <c r="AG36" s="252">
        <v>0.05</v>
      </c>
      <c r="AH36" s="252">
        <v>0.05</v>
      </c>
      <c r="AI36" s="252">
        <v>0.05</v>
      </c>
      <c r="AJ36" s="252">
        <v>0.05</v>
      </c>
      <c r="AK36" s="252">
        <v>0.05</v>
      </c>
      <c r="AL36" s="252">
        <v>0.05</v>
      </c>
      <c r="AM36" s="252">
        <v>0.05</v>
      </c>
      <c r="AN36" s="252">
        <v>0.05</v>
      </c>
      <c r="AO36" s="6"/>
    </row>
    <row r="37" spans="5:51" outlineLevel="1">
      <c r="E37" s="57" t="s">
        <v>286</v>
      </c>
      <c r="F37" s="64"/>
      <c r="G37" s="64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81">
        <f t="shared" ref="R37:AN37" si="67">IFERROR(R9/R10,"na")</f>
        <v>0.18015198927134554</v>
      </c>
      <c r="S37" s="181">
        <f t="shared" si="67"/>
        <v>0.17617770968977403</v>
      </c>
      <c r="T37" s="181">
        <f t="shared" si="67"/>
        <v>0.16079669662375518</v>
      </c>
      <c r="U37" s="181">
        <f t="shared" si="67"/>
        <v>0.15317860746720485</v>
      </c>
      <c r="V37" s="181">
        <f t="shared" si="67"/>
        <v>0.15233069481090589</v>
      </c>
      <c r="W37" s="181">
        <f t="shared" si="67"/>
        <v>0.14921780986762936</v>
      </c>
      <c r="X37" s="181">
        <f t="shared" si="67"/>
        <v>0.14248524817771607</v>
      </c>
      <c r="Y37" s="181">
        <f t="shared" si="67"/>
        <v>0.1394368318024394</v>
      </c>
      <c r="Z37" s="181">
        <f t="shared" si="67"/>
        <v>0.1375667950789114</v>
      </c>
      <c r="AA37" s="181">
        <f t="shared" si="67"/>
        <v>0.14832638220511174</v>
      </c>
      <c r="AB37" s="181">
        <f t="shared" si="67"/>
        <v>0.16295427901524032</v>
      </c>
      <c r="AC37" s="181">
        <f t="shared" si="67"/>
        <v>0.15531082750102923</v>
      </c>
      <c r="AD37" s="181">
        <f t="shared" si="67"/>
        <v>0.14213285538587075</v>
      </c>
      <c r="AE37" s="181">
        <f t="shared" ca="1" si="67"/>
        <v>0.13642267399135508</v>
      </c>
      <c r="AF37" s="181">
        <f t="shared" ca="1" si="67"/>
        <v>0.13526325807592895</v>
      </c>
      <c r="AG37" s="181">
        <f t="shared" ca="1" si="67"/>
        <v>0.13459151559634455</v>
      </c>
      <c r="AH37" s="181">
        <f t="shared" ca="1" si="67"/>
        <v>0.13324820039399818</v>
      </c>
      <c r="AI37" s="181">
        <f t="shared" ca="1" si="67"/>
        <v>0.13228231806907348</v>
      </c>
      <c r="AJ37" s="181">
        <f t="shared" ca="1" si="67"/>
        <v>0.13057413491320324</v>
      </c>
      <c r="AK37" s="181">
        <f t="shared" ca="1" si="67"/>
        <v>0.12916985441521636</v>
      </c>
      <c r="AL37" s="181">
        <f t="shared" ca="1" si="67"/>
        <v>0.12909517707660201</v>
      </c>
      <c r="AM37" s="181">
        <f t="shared" ca="1" si="67"/>
        <v>0.12925633144620513</v>
      </c>
      <c r="AN37" s="181">
        <f t="shared" ca="1" si="67"/>
        <v>0.12963292414327057</v>
      </c>
      <c r="AO37" s="6"/>
    </row>
    <row r="38" spans="5:51" outlineLevel="1">
      <c r="E38" s="57" t="s">
        <v>257</v>
      </c>
      <c r="F38" s="38"/>
      <c r="G38" s="38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>
        <f t="shared" ref="R38:AN38" si="68">IFERROR(R7/Q7-1,"na")</f>
        <v>-4.1176470588235592E-3</v>
      </c>
      <c r="S38" s="134">
        <f t="shared" si="68"/>
        <v>0.15357353809805074</v>
      </c>
      <c r="T38" s="134">
        <f t="shared" si="68"/>
        <v>0.63236047107014848</v>
      </c>
      <c r="U38" s="134">
        <f t="shared" si="68"/>
        <v>0.21361355081555833</v>
      </c>
      <c r="V38" s="134">
        <f t="shared" si="68"/>
        <v>9.1238046006720142E-2</v>
      </c>
      <c r="W38" s="134">
        <f t="shared" si="68"/>
        <v>4.5002368545712379E-3</v>
      </c>
      <c r="X38" s="134">
        <f t="shared" si="68"/>
        <v>-1.7684508370667262E-2</v>
      </c>
      <c r="Y38" s="134">
        <f t="shared" si="68"/>
        <v>0.13466154584733547</v>
      </c>
      <c r="Z38" s="134">
        <f t="shared" si="68"/>
        <v>0.17410619843452513</v>
      </c>
      <c r="AA38" s="134">
        <f t="shared" si="68"/>
        <v>0.11747747747747739</v>
      </c>
      <c r="AB38" s="134">
        <f t="shared" si="68"/>
        <v>-0.11770396646243142</v>
      </c>
      <c r="AC38" s="134">
        <f t="shared" si="68"/>
        <v>0.11001461988304095</v>
      </c>
      <c r="AD38" s="144">
        <f t="shared" si="68"/>
        <v>0.24418827381320862</v>
      </c>
      <c r="AE38" s="144">
        <f t="shared" ca="1" si="68"/>
        <v>8.6253956576143542E-2</v>
      </c>
      <c r="AF38" s="144">
        <f t="shared" ca="1" si="68"/>
        <v>4.5801062927367742E-2</v>
      </c>
      <c r="AG38" s="144">
        <f t="shared" ca="1" si="68"/>
        <v>4.1295969828797574E-2</v>
      </c>
      <c r="AH38" s="144">
        <f t="shared" ca="1" si="68"/>
        <v>4.7170519472161887E-2</v>
      </c>
      <c r="AI38" s="144">
        <f t="shared" ca="1" si="68"/>
        <v>4.3616352120254387E-2</v>
      </c>
      <c r="AJ38" s="144">
        <f t="shared" ca="1" si="68"/>
        <v>5.0277067543859744E-2</v>
      </c>
      <c r="AK38" s="144">
        <f t="shared" ca="1" si="68"/>
        <v>4.7386014500186979E-2</v>
      </c>
      <c r="AL38" s="144">
        <f t="shared" ca="1" si="68"/>
        <v>3.4904185827379752E-2</v>
      </c>
      <c r="AM38" s="144">
        <f t="shared" ca="1" si="68"/>
        <v>3.2496096135248953E-2</v>
      </c>
      <c r="AN38" s="144">
        <f t="shared" ca="1" si="68"/>
        <v>3.0279172489599882E-2</v>
      </c>
      <c r="AO38" s="6"/>
    </row>
    <row r="39" spans="5:51" outlineLevel="1">
      <c r="E39" s="57" t="s">
        <v>258</v>
      </c>
      <c r="F39" s="38"/>
      <c r="G39" s="38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>
        <f t="shared" ref="R39:AN39" si="69">IFERROR(R8/Q8-1,"na")</f>
        <v>8.4615384615384537E-2</v>
      </c>
      <c r="S39" s="134">
        <f t="shared" si="69"/>
        <v>0.4042553191489362</v>
      </c>
      <c r="T39" s="134">
        <f t="shared" si="69"/>
        <v>0.3484848484848484</v>
      </c>
      <c r="U39" s="134">
        <f t="shared" si="69"/>
        <v>0.22471910112359561</v>
      </c>
      <c r="V39" s="134">
        <f t="shared" si="69"/>
        <v>0.82568807339449535</v>
      </c>
      <c r="W39" s="134">
        <f t="shared" si="69"/>
        <v>0.18592964824120606</v>
      </c>
      <c r="X39" s="134">
        <f t="shared" si="69"/>
        <v>9.4632768361581965E-2</v>
      </c>
      <c r="Y39" s="134">
        <f t="shared" si="69"/>
        <v>0.27483870967741941</v>
      </c>
      <c r="Z39" s="134">
        <f t="shared" si="69"/>
        <v>0.40688259109311731</v>
      </c>
      <c r="AA39" s="134">
        <f t="shared" si="69"/>
        <v>0.26762589928057556</v>
      </c>
      <c r="AB39" s="134">
        <f t="shared" si="69"/>
        <v>-5.3348467650397247E-2</v>
      </c>
      <c r="AC39" s="134">
        <f t="shared" si="69"/>
        <v>0.27877697841726623</v>
      </c>
      <c r="AD39" s="144">
        <f t="shared" si="69"/>
        <v>2.5867694226211491E-2</v>
      </c>
      <c r="AE39" s="144">
        <f t="shared" ca="1" si="69"/>
        <v>0.15295639199033961</v>
      </c>
      <c r="AF39" s="144">
        <f t="shared" ca="1" si="69"/>
        <v>0.10799593091367177</v>
      </c>
      <c r="AG39" s="144">
        <f t="shared" ca="1" si="69"/>
        <v>0.10140430451741378</v>
      </c>
      <c r="AH39" s="144">
        <f t="shared" ca="1" si="69"/>
        <v>0.10596298439002916</v>
      </c>
      <c r="AI39" s="144">
        <f t="shared" ca="1" si="69"/>
        <v>0.10071363654208554</v>
      </c>
      <c r="AJ39" s="144">
        <f t="shared" ca="1" si="69"/>
        <v>0.10637163823324047</v>
      </c>
      <c r="AK39" s="144">
        <f t="shared" ca="1" si="69"/>
        <v>0.10208636933388759</v>
      </c>
      <c r="AL39" s="144">
        <f t="shared" ca="1" si="69"/>
        <v>8.7837808732895706E-2</v>
      </c>
      <c r="AM39" s="144">
        <f t="shared" ca="1" si="69"/>
        <v>8.4293994587762322E-2</v>
      </c>
      <c r="AN39" s="144">
        <f t="shared" ca="1" si="69"/>
        <v>8.1046198881867149E-2</v>
      </c>
      <c r="AO39" s="6"/>
    </row>
    <row r="40" spans="5:51" outlineLevel="1">
      <c r="E40" s="57" t="s">
        <v>259</v>
      </c>
      <c r="F40" s="38"/>
      <c r="G40" s="38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ref="R40:AN40" si="70">IFERROR(R7/Q7-1,"na")</f>
        <v>-4.1176470588235592E-3</v>
      </c>
      <c r="S40" s="134">
        <f t="shared" si="70"/>
        <v>0.15357353809805074</v>
      </c>
      <c r="T40" s="134">
        <f t="shared" si="70"/>
        <v>0.63236047107014848</v>
      </c>
      <c r="U40" s="134">
        <f t="shared" si="70"/>
        <v>0.21361355081555833</v>
      </c>
      <c r="V40" s="134">
        <f t="shared" si="70"/>
        <v>9.1238046006720142E-2</v>
      </c>
      <c r="W40" s="134">
        <f t="shared" si="70"/>
        <v>4.5002368545712379E-3</v>
      </c>
      <c r="X40" s="134">
        <f t="shared" si="70"/>
        <v>-1.7684508370667262E-2</v>
      </c>
      <c r="Y40" s="134">
        <f t="shared" si="70"/>
        <v>0.13466154584733547</v>
      </c>
      <c r="Z40" s="134">
        <f t="shared" si="70"/>
        <v>0.17410619843452513</v>
      </c>
      <c r="AA40" s="134">
        <f t="shared" si="70"/>
        <v>0.11747747747747739</v>
      </c>
      <c r="AB40" s="134">
        <f t="shared" si="70"/>
        <v>-0.11770396646243142</v>
      </c>
      <c r="AC40" s="134">
        <f t="shared" si="70"/>
        <v>0.11001461988304095</v>
      </c>
      <c r="AD40" s="144">
        <f t="shared" si="70"/>
        <v>0.24418827381320862</v>
      </c>
      <c r="AE40" s="144">
        <f t="shared" ca="1" si="70"/>
        <v>8.6253956576143542E-2</v>
      </c>
      <c r="AF40" s="144">
        <f t="shared" ca="1" si="70"/>
        <v>4.5801062927367742E-2</v>
      </c>
      <c r="AG40" s="144">
        <f t="shared" ca="1" si="70"/>
        <v>4.1295969828797574E-2</v>
      </c>
      <c r="AH40" s="144">
        <f t="shared" ca="1" si="70"/>
        <v>4.7170519472161887E-2</v>
      </c>
      <c r="AI40" s="144">
        <f t="shared" ca="1" si="70"/>
        <v>4.3616352120254387E-2</v>
      </c>
      <c r="AJ40" s="144">
        <f t="shared" ca="1" si="70"/>
        <v>5.0277067543859744E-2</v>
      </c>
      <c r="AK40" s="144">
        <f t="shared" ca="1" si="70"/>
        <v>4.7386014500186979E-2</v>
      </c>
      <c r="AL40" s="144">
        <f t="shared" ca="1" si="70"/>
        <v>3.4904185827379752E-2</v>
      </c>
      <c r="AM40" s="144">
        <f t="shared" ca="1" si="70"/>
        <v>3.2496096135248953E-2</v>
      </c>
      <c r="AN40" s="144">
        <f t="shared" ca="1" si="70"/>
        <v>3.0279172489599882E-2</v>
      </c>
      <c r="AO40" s="6"/>
    </row>
    <row r="41" spans="5:51" outlineLevel="1">
      <c r="E41" s="57" t="s">
        <v>260</v>
      </c>
      <c r="F41" s="38"/>
      <c r="G41" s="38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>
        <f t="shared" ref="R41:AC41" si="71">IFERROR(R8/R10,"na")</f>
        <v>6.3030844881537776E-2</v>
      </c>
      <c r="S41" s="134">
        <f t="shared" si="71"/>
        <v>7.5833014170815782E-2</v>
      </c>
      <c r="T41" s="134">
        <f t="shared" si="71"/>
        <v>6.4853048336167118E-2</v>
      </c>
      <c r="U41" s="134">
        <f t="shared" si="71"/>
        <v>6.5993945509586274E-2</v>
      </c>
      <c r="V41" s="134">
        <f t="shared" si="71"/>
        <v>0.10501319261213721</v>
      </c>
      <c r="W41" s="134">
        <f t="shared" si="71"/>
        <v>0.12171222279525529</v>
      </c>
      <c r="X41" s="134">
        <f t="shared" si="71"/>
        <v>0.13450190905935439</v>
      </c>
      <c r="Y41" s="134">
        <f t="shared" si="71"/>
        <v>0.14877277518446017</v>
      </c>
      <c r="Z41" s="134">
        <f t="shared" si="71"/>
        <v>0.17273518081272524</v>
      </c>
      <c r="AA41" s="134">
        <f t="shared" si="71"/>
        <v>0.18842904502192279</v>
      </c>
      <c r="AB41" s="134">
        <f t="shared" si="71"/>
        <v>0.19554513481828839</v>
      </c>
      <c r="AC41" s="134">
        <f t="shared" si="71"/>
        <v>0.21953478797859202</v>
      </c>
      <c r="AD41" s="252">
        <f>+AC41+0.005</f>
        <v>0.22453478797859203</v>
      </c>
      <c r="AE41" s="252">
        <f ca="1">+AVERAGE(AD41,AF41)</f>
        <v>0.23508130918073278</v>
      </c>
      <c r="AF41" s="252">
        <f t="shared" ref="AF41:AM41" ca="1" si="72">+AVERAGE(AE41,AG41)</f>
        <v>0.2456278303828735</v>
      </c>
      <c r="AG41" s="252">
        <f t="shared" ca="1" si="72"/>
        <v>0.25617435158501423</v>
      </c>
      <c r="AH41" s="252">
        <f t="shared" ca="1" si="72"/>
        <v>0.26672087278715495</v>
      </c>
      <c r="AI41" s="252">
        <f t="shared" ca="1" si="72"/>
        <v>0.27726739398929573</v>
      </c>
      <c r="AJ41" s="252">
        <f t="shared" ca="1" si="72"/>
        <v>0.28781391519143651</v>
      </c>
      <c r="AK41" s="252">
        <f t="shared" ca="1" si="72"/>
        <v>0.29836043639357734</v>
      </c>
      <c r="AL41" s="252">
        <f t="shared" ca="1" si="72"/>
        <v>0.30890695759571823</v>
      </c>
      <c r="AM41" s="252">
        <f t="shared" ca="1" si="72"/>
        <v>0.31945347879785913</v>
      </c>
      <c r="AN41" s="252">
        <v>0.33</v>
      </c>
      <c r="AO41" s="6"/>
    </row>
    <row r="42" spans="5:51" outlineLevel="1">
      <c r="E42" s="109"/>
      <c r="F42" s="64"/>
      <c r="G42" s="64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6"/>
    </row>
    <row r="43" spans="5:51" outlineLevel="1">
      <c r="E43" s="45" t="s">
        <v>290</v>
      </c>
      <c r="F43" s="64"/>
      <c r="G43" s="64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82">
        <f t="shared" ref="R43:AB43" si="73">+Q46</f>
        <v>3800</v>
      </c>
      <c r="S43" s="182">
        <f t="shared" si="73"/>
        <v>3790</v>
      </c>
      <c r="T43" s="182">
        <f t="shared" si="73"/>
        <v>4290</v>
      </c>
      <c r="U43" s="182">
        <f t="shared" si="73"/>
        <v>7230</v>
      </c>
      <c r="V43" s="182">
        <f t="shared" si="73"/>
        <v>7730</v>
      </c>
      <c r="W43" s="182">
        <f t="shared" si="73"/>
        <v>8440</v>
      </c>
      <c r="X43" s="182">
        <f t="shared" si="73"/>
        <v>8730</v>
      </c>
      <c r="Y43" s="182">
        <f t="shared" si="73"/>
        <v>8990</v>
      </c>
      <c r="Z43" s="182">
        <f t="shared" si="73"/>
        <v>11510</v>
      </c>
      <c r="AA43" s="182">
        <f t="shared" si="73"/>
        <v>14180</v>
      </c>
      <c r="AB43" s="182">
        <f t="shared" si="73"/>
        <v>14630</v>
      </c>
      <c r="AC43" s="182">
        <f t="shared" ref="AC43:AN43" si="74">+AB46</f>
        <v>13780</v>
      </c>
      <c r="AD43" s="182">
        <f t="shared" si="74"/>
        <v>15790</v>
      </c>
      <c r="AE43" s="182">
        <f t="shared" si="74"/>
        <v>18140</v>
      </c>
      <c r="AF43" s="182">
        <f t="shared" si="74"/>
        <v>19733.716940000002</v>
      </c>
      <c r="AG43" s="182">
        <f t="shared" si="74"/>
        <v>21375.245388200001</v>
      </c>
      <c r="AH43" s="182">
        <f t="shared" si="74"/>
        <v>23066.019689846002</v>
      </c>
      <c r="AI43" s="182">
        <f t="shared" si="74"/>
        <v>24807.517220541384</v>
      </c>
      <c r="AJ43" s="182">
        <f t="shared" si="74"/>
        <v>26601.259677157625</v>
      </c>
      <c r="AK43" s="182">
        <f t="shared" si="74"/>
        <v>28448.814407472353</v>
      </c>
      <c r="AL43" s="182">
        <f t="shared" si="74"/>
        <v>30351.795779696524</v>
      </c>
      <c r="AM43" s="182">
        <f t="shared" si="74"/>
        <v>32311.866593087423</v>
      </c>
      <c r="AN43" s="182">
        <f t="shared" si="74"/>
        <v>34330.739530880041</v>
      </c>
      <c r="AO43" s="6"/>
      <c r="AP43" s="160">
        <f>+(AM43/AC43)^(0.1)-1</f>
        <v>8.8958384055554118E-2</v>
      </c>
      <c r="AQ43" s="160">
        <f t="shared" ref="AQ43" si="75">+(AC43/S43)^(1/10)-1</f>
        <v>0.13778708753914448</v>
      </c>
      <c r="AV43" s="272"/>
      <c r="AW43" s="272"/>
      <c r="AX43" s="272"/>
      <c r="AY43" s="272"/>
    </row>
    <row r="44" spans="5:51" outlineLevel="1">
      <c r="E44" s="45" t="s">
        <v>288</v>
      </c>
      <c r="F44" s="64"/>
      <c r="G44" s="64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61">
        <v>346</v>
      </c>
      <c r="S44" s="161">
        <v>774</v>
      </c>
      <c r="T44" s="161">
        <v>1272</v>
      </c>
      <c r="U44" s="161">
        <v>1580</v>
      </c>
      <c r="V44" s="161">
        <v>1701</v>
      </c>
      <c r="W44" s="161">
        <v>1534</v>
      </c>
      <c r="X44" s="161">
        <v>1246</v>
      </c>
      <c r="Y44" s="161">
        <v>1769</v>
      </c>
      <c r="Z44" s="161">
        <v>2106</v>
      </c>
      <c r="AA44" s="161">
        <v>2132</v>
      </c>
      <c r="AB44" s="161">
        <v>961</v>
      </c>
      <c r="AC44" s="161">
        <v>2998</v>
      </c>
      <c r="AD44" s="183">
        <v>3350</v>
      </c>
      <c r="AE44" s="183">
        <f>+AVERAGE(Z44:AD44)*(1+$AP$44)</f>
        <v>2378.6820000000002</v>
      </c>
      <c r="AF44" s="183">
        <f>+AE44*(1+$AP$44)</f>
        <v>2450.0424600000001</v>
      </c>
      <c r="AG44" s="183">
        <f t="shared" ref="AG44:AN44" si="76">+AF44*(1+$AP$44)</f>
        <v>2523.5437338000002</v>
      </c>
      <c r="AH44" s="183">
        <f t="shared" si="76"/>
        <v>2599.2500458140003</v>
      </c>
      <c r="AI44" s="183">
        <f t="shared" si="76"/>
        <v>2677.2275471884204</v>
      </c>
      <c r="AJ44" s="183">
        <f t="shared" si="76"/>
        <v>2757.5443736040729</v>
      </c>
      <c r="AK44" s="183">
        <f t="shared" si="76"/>
        <v>2840.2707048121952</v>
      </c>
      <c r="AL44" s="183">
        <f t="shared" si="76"/>
        <v>2925.4788259565612</v>
      </c>
      <c r="AM44" s="183">
        <f t="shared" si="76"/>
        <v>3013.2431907352579</v>
      </c>
      <c r="AN44" s="183">
        <f t="shared" si="76"/>
        <v>3103.6404864573155</v>
      </c>
      <c r="AO44" s="6"/>
      <c r="AP44" s="252">
        <v>0.03</v>
      </c>
      <c r="AV44" s="272"/>
      <c r="AW44" s="272"/>
      <c r="AX44" s="272"/>
      <c r="AY44" s="272"/>
    </row>
    <row r="45" spans="5:51" outlineLevel="1">
      <c r="E45" s="45" t="s">
        <v>294</v>
      </c>
      <c r="F45" s="64"/>
      <c r="G45" s="64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82">
        <f t="shared" ref="R45:Y45" si="77">+R46-R44-R43</f>
        <v>-356</v>
      </c>
      <c r="S45" s="182">
        <f t="shared" si="77"/>
        <v>-274</v>
      </c>
      <c r="T45" s="182">
        <f t="shared" si="77"/>
        <v>1668</v>
      </c>
      <c r="U45" s="182">
        <f t="shared" si="77"/>
        <v>-1080</v>
      </c>
      <c r="V45" s="182">
        <f t="shared" si="77"/>
        <v>-991</v>
      </c>
      <c r="W45" s="182">
        <f t="shared" si="77"/>
        <v>-1244</v>
      </c>
      <c r="X45" s="182">
        <f t="shared" si="77"/>
        <v>-986</v>
      </c>
      <c r="Y45" s="182">
        <f t="shared" si="77"/>
        <v>751</v>
      </c>
      <c r="Z45" s="182">
        <f t="shared" ref="Z45:AC45" si="78">+Z46-Z44-Z43</f>
        <v>564</v>
      </c>
      <c r="AA45" s="182">
        <f t="shared" si="78"/>
        <v>-1682</v>
      </c>
      <c r="AB45" s="182">
        <f t="shared" si="78"/>
        <v>-1811</v>
      </c>
      <c r="AC45" s="182">
        <f t="shared" si="78"/>
        <v>-988</v>
      </c>
      <c r="AD45" s="183">
        <f>-1000</f>
        <v>-1000</v>
      </c>
      <c r="AE45" s="183">
        <f>-AE44*0.33</f>
        <v>-784.96506000000011</v>
      </c>
      <c r="AF45" s="183">
        <f>-AF44*0.33</f>
        <v>-808.51401180000005</v>
      </c>
      <c r="AG45" s="183">
        <f t="shared" ref="AG45:AN45" si="79">-AG44*0.33</f>
        <v>-832.76943215400013</v>
      </c>
      <c r="AH45" s="183">
        <f t="shared" si="79"/>
        <v>-857.75251511862018</v>
      </c>
      <c r="AI45" s="183">
        <f t="shared" si="79"/>
        <v>-883.48509057217882</v>
      </c>
      <c r="AJ45" s="183">
        <f t="shared" si="79"/>
        <v>-909.98964328934414</v>
      </c>
      <c r="AK45" s="183">
        <f t="shared" si="79"/>
        <v>-937.28933258802442</v>
      </c>
      <c r="AL45" s="183">
        <f t="shared" si="79"/>
        <v>-965.40801256566522</v>
      </c>
      <c r="AM45" s="183">
        <f t="shared" si="79"/>
        <v>-994.37025294263515</v>
      </c>
      <c r="AN45" s="183">
        <f t="shared" si="79"/>
        <v>-1024.2013605309141</v>
      </c>
      <c r="AO45" s="6"/>
    </row>
    <row r="46" spans="5:51" outlineLevel="1">
      <c r="E46" s="45" t="s">
        <v>289</v>
      </c>
      <c r="F46" s="64"/>
      <c r="G46" s="64"/>
      <c r="H46" s="110"/>
      <c r="I46" s="110"/>
      <c r="J46" s="110"/>
      <c r="K46" s="110"/>
      <c r="L46" s="110"/>
      <c r="M46" s="110"/>
      <c r="N46" s="110"/>
      <c r="O46" s="110"/>
      <c r="P46" s="110"/>
      <c r="Q46" s="161">
        <v>3800</v>
      </c>
      <c r="R46" s="161">
        <v>3790</v>
      </c>
      <c r="S46" s="161">
        <v>4290</v>
      </c>
      <c r="T46" s="161">
        <v>7230</v>
      </c>
      <c r="U46" s="161">
        <v>7730</v>
      </c>
      <c r="V46" s="161">
        <v>8440</v>
      </c>
      <c r="W46" s="161">
        <v>8730</v>
      </c>
      <c r="X46" s="161">
        <v>8990</v>
      </c>
      <c r="Y46" s="161">
        <v>11510</v>
      </c>
      <c r="Z46" s="161">
        <v>14180</v>
      </c>
      <c r="AA46" s="161">
        <v>14630</v>
      </c>
      <c r="AB46" s="161">
        <v>13780</v>
      </c>
      <c r="AC46" s="161">
        <v>15790</v>
      </c>
      <c r="AD46" s="182">
        <f>SUM(AD43:AD45)</f>
        <v>18140</v>
      </c>
      <c r="AE46" s="182">
        <f t="shared" ref="AE46:AN46" si="80">SUM(AE43:AE45)</f>
        <v>19733.716940000002</v>
      </c>
      <c r="AF46" s="182">
        <f t="shared" si="80"/>
        <v>21375.245388200001</v>
      </c>
      <c r="AG46" s="182">
        <f t="shared" si="80"/>
        <v>23066.019689846002</v>
      </c>
      <c r="AH46" s="182">
        <f t="shared" si="80"/>
        <v>24807.517220541384</v>
      </c>
      <c r="AI46" s="182">
        <f t="shared" si="80"/>
        <v>26601.259677157625</v>
      </c>
      <c r="AJ46" s="182">
        <f t="shared" si="80"/>
        <v>28448.814407472353</v>
      </c>
      <c r="AK46" s="182">
        <f t="shared" si="80"/>
        <v>30351.795779696524</v>
      </c>
      <c r="AL46" s="182">
        <f t="shared" si="80"/>
        <v>32311.866593087423</v>
      </c>
      <c r="AM46" s="182">
        <f t="shared" si="80"/>
        <v>34330.739530880041</v>
      </c>
      <c r="AN46" s="182">
        <f t="shared" si="80"/>
        <v>36410.178656806442</v>
      </c>
      <c r="AO46" s="6"/>
    </row>
    <row r="47" spans="5:51" outlineLevel="1">
      <c r="E47" s="109" t="s">
        <v>291</v>
      </c>
      <c r="F47" s="64"/>
      <c r="G47" s="6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84">
        <f t="shared" ref="R47:AC47" si="81">+AVERAGE(R46,R43)</f>
        <v>3795</v>
      </c>
      <c r="S47" s="184">
        <f t="shared" si="81"/>
        <v>4040</v>
      </c>
      <c r="T47" s="184">
        <f t="shared" si="81"/>
        <v>5760</v>
      </c>
      <c r="U47" s="184">
        <f t="shared" si="81"/>
        <v>7480</v>
      </c>
      <c r="V47" s="184">
        <f t="shared" si="81"/>
        <v>8085</v>
      </c>
      <c r="W47" s="184">
        <f t="shared" si="81"/>
        <v>8585</v>
      </c>
      <c r="X47" s="184">
        <f t="shared" si="81"/>
        <v>8860</v>
      </c>
      <c r="Y47" s="184">
        <f t="shared" si="81"/>
        <v>10250</v>
      </c>
      <c r="Z47" s="184">
        <f t="shared" si="81"/>
        <v>12845</v>
      </c>
      <c r="AA47" s="184">
        <f t="shared" si="81"/>
        <v>14405</v>
      </c>
      <c r="AB47" s="184">
        <f t="shared" si="81"/>
        <v>14205</v>
      </c>
      <c r="AC47" s="184">
        <f t="shared" si="81"/>
        <v>14785</v>
      </c>
      <c r="AD47" s="184">
        <f t="shared" ref="AD47:AM47" si="82">+AVERAGE(AD46,AD43)</f>
        <v>16965</v>
      </c>
      <c r="AE47" s="184">
        <f t="shared" si="82"/>
        <v>18936.858469999999</v>
      </c>
      <c r="AF47" s="184">
        <f t="shared" si="82"/>
        <v>20554.481164100001</v>
      </c>
      <c r="AG47" s="184">
        <f t="shared" si="82"/>
        <v>22220.632539023001</v>
      </c>
      <c r="AH47" s="184">
        <f t="shared" si="82"/>
        <v>23936.768455193691</v>
      </c>
      <c r="AI47" s="184">
        <f t="shared" si="82"/>
        <v>25704.388448849502</v>
      </c>
      <c r="AJ47" s="184">
        <f t="shared" si="82"/>
        <v>27525.037042314987</v>
      </c>
      <c r="AK47" s="184">
        <f t="shared" si="82"/>
        <v>29400.305093584437</v>
      </c>
      <c r="AL47" s="184">
        <f t="shared" si="82"/>
        <v>31331.831186391973</v>
      </c>
      <c r="AM47" s="184">
        <f t="shared" si="82"/>
        <v>33321.30306198373</v>
      </c>
      <c r="AN47" s="184">
        <f t="shared" ref="AN47" si="83">+AVERAGE(AN46,AN43)</f>
        <v>35370.459093843237</v>
      </c>
      <c r="AO47" s="6"/>
      <c r="AP47" s="160"/>
    </row>
    <row r="48" spans="5:51" outlineLevel="1">
      <c r="E48" s="46" t="s">
        <v>309</v>
      </c>
      <c r="F48" s="64"/>
      <c r="G48" s="64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79"/>
      <c r="Z48" s="179"/>
      <c r="AA48" s="179"/>
      <c r="AB48" s="179"/>
      <c r="AC48" s="181">
        <f>+SUM(Y45:AC45)/SUM(Y44:AC44)</f>
        <v>-0.31768011238209914</v>
      </c>
      <c r="AD48" s="179"/>
      <c r="AE48" s="179"/>
      <c r="AF48" s="180"/>
      <c r="AG48" s="180"/>
      <c r="AH48" s="181"/>
      <c r="AI48" s="181">
        <f>+SUM(AE45:AI45)/SUM(AE44:AI44)</f>
        <v>-0.33</v>
      </c>
      <c r="AJ48" s="180"/>
      <c r="AK48" s="180"/>
      <c r="AL48" s="180"/>
      <c r="AM48" s="180"/>
      <c r="AN48" s="181">
        <f>+SUM(AJ45:AN45)/SUM(AJ44:AN44)</f>
        <v>-0.32999999999999996</v>
      </c>
      <c r="AO48" s="6"/>
    </row>
    <row r="49" spans="5:46" outlineLevel="1">
      <c r="E49" s="3"/>
      <c r="F49" s="38"/>
      <c r="G49" s="3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6"/>
    </row>
    <row r="50" spans="5:46" outlineLevel="1">
      <c r="E50" s="57" t="s">
        <v>112</v>
      </c>
      <c r="F50" s="38"/>
      <c r="G50" s="38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>
        <f t="shared" ref="R50:AC50" si="84">IFERROR(R13/R10,"na")</f>
        <v>0.29414394278050959</v>
      </c>
      <c r="S50" s="134">
        <f t="shared" si="84"/>
        <v>0.34392952891612411</v>
      </c>
      <c r="T50" s="134">
        <f t="shared" si="84"/>
        <v>0.38547486033519551</v>
      </c>
      <c r="U50" s="134">
        <f t="shared" si="84"/>
        <v>0.40100908173562061</v>
      </c>
      <c r="V50" s="134">
        <f t="shared" si="84"/>
        <v>0.42779243623570801</v>
      </c>
      <c r="W50" s="134">
        <f t="shared" si="84"/>
        <v>0.42633659962179815</v>
      </c>
      <c r="X50" s="134">
        <f t="shared" si="84"/>
        <v>0.4170426935091982</v>
      </c>
      <c r="Y50" s="134">
        <f t="shared" si="84"/>
        <v>0.41695527781960551</v>
      </c>
      <c r="Z50" s="134">
        <f t="shared" si="84"/>
        <v>0.41804399154964583</v>
      </c>
      <c r="AA50" s="134">
        <f t="shared" si="84"/>
        <v>0.39247139343385734</v>
      </c>
      <c r="AB50" s="134">
        <f t="shared" si="84"/>
        <v>0.3731535756154748</v>
      </c>
      <c r="AC50" s="134">
        <f t="shared" si="84"/>
        <v>0.39656237134623301</v>
      </c>
      <c r="AD50" s="144">
        <f t="shared" ref="AD50:AM50" si="85">+AD68</f>
        <v>0.42464831699446021</v>
      </c>
      <c r="AE50" s="144">
        <f t="shared" ca="1" si="85"/>
        <v>0.43382750596215053</v>
      </c>
      <c r="AF50" s="144">
        <f t="shared" ca="1" si="85"/>
        <v>0.43935613646167215</v>
      </c>
      <c r="AG50" s="144">
        <f t="shared" ca="1" si="85"/>
        <v>0.44490855788161748</v>
      </c>
      <c r="AH50" s="144">
        <f t="shared" ca="1" si="85"/>
        <v>0.45044673066974489</v>
      </c>
      <c r="AI50" s="144">
        <f t="shared" ca="1" si="85"/>
        <v>0.45600380373736843</v>
      </c>
      <c r="AJ50" s="144">
        <f t="shared" ca="1" si="85"/>
        <v>0.46155199296559346</v>
      </c>
      <c r="AK50" s="144">
        <f t="shared" ca="1" si="85"/>
        <v>0.46711769431085876</v>
      </c>
      <c r="AL50" s="144">
        <f t="shared" ca="1" si="85"/>
        <v>0.47271213888891755</v>
      </c>
      <c r="AM50" s="144">
        <f t="shared" ca="1" si="85"/>
        <v>0.47830960349253571</v>
      </c>
      <c r="AN50" s="144">
        <f ca="1">+AN68</f>
        <v>0.47807597106076277</v>
      </c>
      <c r="AO50" s="6"/>
      <c r="AP50" s="160"/>
      <c r="AS50" s="15">
        <f t="shared" ref="AS50:AS59" ca="1" si="86">+AVERAGE(AD50:AM50)</f>
        <v>0.45288824813649187</v>
      </c>
      <c r="AT50" s="15">
        <f t="shared" ref="AT50:AT59" si="87">+AVERAGE(T50:AC50)</f>
        <v>0.40548422812023366</v>
      </c>
    </row>
    <row r="51" spans="5:46" outlineLevel="1">
      <c r="E51" s="57" t="s">
        <v>199</v>
      </c>
      <c r="F51" s="38"/>
      <c r="G51" s="38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>
        <f t="shared" ref="R51:AN51" si="88">IFERROR(R17/R10,"na")</f>
        <v>8.8064371926687535E-2</v>
      </c>
      <c r="S51" s="144">
        <f t="shared" si="88"/>
        <v>0.15166602834163156</v>
      </c>
      <c r="T51" s="144">
        <f t="shared" si="88"/>
        <v>0.14355112946320137</v>
      </c>
      <c r="U51" s="144">
        <f t="shared" si="88"/>
        <v>0.2175580221997982</v>
      </c>
      <c r="V51" s="144">
        <f t="shared" si="88"/>
        <v>0.24467897977132805</v>
      </c>
      <c r="W51" s="144">
        <f t="shared" si="88"/>
        <v>0.26095925734914904</v>
      </c>
      <c r="X51" s="144">
        <f t="shared" si="88"/>
        <v>0.24557445331482125</v>
      </c>
      <c r="Y51" s="144">
        <f t="shared" si="88"/>
        <v>0.22692365607589218</v>
      </c>
      <c r="Z51" s="144">
        <f t="shared" si="88"/>
        <v>0.24245060270908414</v>
      </c>
      <c r="AA51" s="144">
        <f t="shared" si="88"/>
        <v>0.23013581435140626</v>
      </c>
      <c r="AB51" s="144">
        <f t="shared" si="88"/>
        <v>0.21101992966002345</v>
      </c>
      <c r="AC51" s="144">
        <f t="shared" si="88"/>
        <v>0.23435570193495264</v>
      </c>
      <c r="AD51" s="144">
        <f t="shared" si="88"/>
        <v>0.26803581185628927</v>
      </c>
      <c r="AE51" s="144">
        <f t="shared" ca="1" si="88"/>
        <v>0.27817375220438173</v>
      </c>
      <c r="AF51" s="144">
        <f t="shared" ca="1" si="88"/>
        <v>0.28570086984563664</v>
      </c>
      <c r="AG51" s="144">
        <f t="shared" ca="1" si="88"/>
        <v>0.29290324531554374</v>
      </c>
      <c r="AH51" s="144">
        <f t="shared" ca="1" si="88"/>
        <v>0.30008569209370628</v>
      </c>
      <c r="AI51" s="144">
        <f t="shared" ca="1" si="88"/>
        <v>0.3070590788843654</v>
      </c>
      <c r="AJ51" s="144">
        <f t="shared" ca="1" si="88"/>
        <v>0.31408437835357561</v>
      </c>
      <c r="AK51" s="144">
        <f t="shared" ca="1" si="88"/>
        <v>0.32095686144454666</v>
      </c>
      <c r="AL51" s="144">
        <f t="shared" ca="1" si="88"/>
        <v>0.32750658204459226</v>
      </c>
      <c r="AM51" s="144">
        <f t="shared" ca="1" si="88"/>
        <v>0.33399597967364475</v>
      </c>
      <c r="AN51" s="144">
        <f t="shared" ca="1" si="88"/>
        <v>0.33460448531298426</v>
      </c>
      <c r="AO51" s="6"/>
      <c r="AP51" s="12"/>
      <c r="AS51" s="15">
        <f t="shared" ca="1" si="86"/>
        <v>0.30285022517162818</v>
      </c>
      <c r="AT51" s="15">
        <f t="shared" si="87"/>
        <v>0.22572075468296565</v>
      </c>
    </row>
    <row r="52" spans="5:46" outlineLevel="1">
      <c r="E52" s="54" t="s">
        <v>231</v>
      </c>
      <c r="F52" s="38"/>
      <c r="G52" s="38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>
        <f t="shared" ref="R52:AC52" si="89">IFERROR(R14/R10,"na")</f>
        <v>0.16405900759946357</v>
      </c>
      <c r="S52" s="144">
        <f t="shared" si="89"/>
        <v>0.15587897357334354</v>
      </c>
      <c r="T52" s="144">
        <f t="shared" si="89"/>
        <v>0.14282244352683993</v>
      </c>
      <c r="U52" s="144">
        <f t="shared" si="89"/>
        <v>0.12956609485368314</v>
      </c>
      <c r="V52" s="144">
        <f t="shared" si="89"/>
        <v>0.13333333333333333</v>
      </c>
      <c r="W52" s="144">
        <f t="shared" si="89"/>
        <v>0.12274368231046931</v>
      </c>
      <c r="X52" s="144">
        <f t="shared" si="89"/>
        <v>0.12478306143700105</v>
      </c>
      <c r="Y52" s="144">
        <f t="shared" si="89"/>
        <v>0.13597349796717362</v>
      </c>
      <c r="Z52" s="144">
        <f t="shared" si="89"/>
        <v>0.128992170995402</v>
      </c>
      <c r="AA52" s="144">
        <f t="shared" si="89"/>
        <v>0.11677895412255374</v>
      </c>
      <c r="AB52" s="144">
        <f t="shared" si="89"/>
        <v>0.11477139507620164</v>
      </c>
      <c r="AC52" s="144">
        <f t="shared" si="89"/>
        <v>0.12340469328941951</v>
      </c>
      <c r="AD52" s="186">
        <f>+AC52-0.001</f>
        <v>0.12240469328941951</v>
      </c>
      <c r="AE52" s="186">
        <f>+AD52-0.0005</f>
        <v>0.12190469328941951</v>
      </c>
      <c r="AF52" s="186">
        <f t="shared" ref="AF52:AN52" si="90">+AE52-0.0005</f>
        <v>0.12140469328941951</v>
      </c>
      <c r="AG52" s="186">
        <f t="shared" si="90"/>
        <v>0.12090469328941951</v>
      </c>
      <c r="AH52" s="186">
        <f t="shared" si="90"/>
        <v>0.12040469328941951</v>
      </c>
      <c r="AI52" s="186">
        <f t="shared" si="90"/>
        <v>0.11990469328941951</v>
      </c>
      <c r="AJ52" s="186">
        <f t="shared" si="90"/>
        <v>0.11940469328941951</v>
      </c>
      <c r="AK52" s="186">
        <f t="shared" si="90"/>
        <v>0.11890469328941951</v>
      </c>
      <c r="AL52" s="186">
        <f t="shared" si="90"/>
        <v>0.11840469328941951</v>
      </c>
      <c r="AM52" s="186">
        <f t="shared" si="90"/>
        <v>0.11790469328941951</v>
      </c>
      <c r="AN52" s="186">
        <f t="shared" si="90"/>
        <v>0.11740469328941951</v>
      </c>
      <c r="AO52" s="6"/>
      <c r="AP52" s="160"/>
      <c r="AS52" s="15">
        <f t="shared" si="86"/>
        <v>0.12015469328941952</v>
      </c>
      <c r="AT52" s="15">
        <f t="shared" si="87"/>
        <v>0.12731693269120772</v>
      </c>
    </row>
    <row r="53" spans="5:46" outlineLevel="1">
      <c r="E53" s="54" t="s">
        <v>232</v>
      </c>
      <c r="F53" s="38"/>
      <c r="G53" s="38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>
        <f t="shared" ref="R53:AC53" si="91">IFERROR(R16/R10,"na")</f>
        <v>1.5198927134555208E-2</v>
      </c>
      <c r="S53" s="144">
        <f t="shared" si="91"/>
        <v>1.4553810800459595E-2</v>
      </c>
      <c r="T53" s="144">
        <f t="shared" si="91"/>
        <v>5.1008015545299976E-2</v>
      </c>
      <c r="U53" s="144">
        <f t="shared" si="91"/>
        <v>4.2381432896064584E-3</v>
      </c>
      <c r="V53" s="144">
        <f t="shared" si="91"/>
        <v>1.7590149516270889E-3</v>
      </c>
      <c r="W53" s="144">
        <f t="shared" si="91"/>
        <v>-3.4381983840467596E-3</v>
      </c>
      <c r="X53" s="144">
        <f t="shared" si="91"/>
        <v>2.4297119055883376E-3</v>
      </c>
      <c r="Y53" s="144">
        <f t="shared" si="91"/>
        <v>1.505797319680771E-2</v>
      </c>
      <c r="Z53" s="144">
        <f t="shared" si="91"/>
        <v>8.3260842550018643E-3</v>
      </c>
      <c r="AA53" s="144">
        <f t="shared" si="91"/>
        <v>2.0318682493850925E-3</v>
      </c>
      <c r="AB53" s="144">
        <f t="shared" si="91"/>
        <v>1.9929660023446658E-3</v>
      </c>
      <c r="AC53" s="144">
        <f t="shared" si="91"/>
        <v>5.1461506792918892E-4</v>
      </c>
      <c r="AD53" s="186">
        <v>0</v>
      </c>
      <c r="AE53" s="186">
        <v>0</v>
      </c>
      <c r="AF53" s="186">
        <v>0</v>
      </c>
      <c r="AG53" s="186">
        <f>AF53</f>
        <v>0</v>
      </c>
      <c r="AH53" s="186">
        <f t="shared" ref="AH53:AN53" si="92">AG53</f>
        <v>0</v>
      </c>
      <c r="AI53" s="186">
        <f t="shared" si="92"/>
        <v>0</v>
      </c>
      <c r="AJ53" s="186">
        <f t="shared" si="92"/>
        <v>0</v>
      </c>
      <c r="AK53" s="186">
        <f t="shared" si="92"/>
        <v>0</v>
      </c>
      <c r="AL53" s="186">
        <f t="shared" si="92"/>
        <v>0</v>
      </c>
      <c r="AM53" s="186">
        <f t="shared" si="92"/>
        <v>0</v>
      </c>
      <c r="AN53" s="186">
        <f t="shared" si="92"/>
        <v>0</v>
      </c>
      <c r="AO53" s="6"/>
      <c r="AS53" s="15">
        <f t="shared" si="86"/>
        <v>0</v>
      </c>
      <c r="AT53" s="15">
        <f t="shared" si="87"/>
        <v>8.3920194079543601E-3</v>
      </c>
    </row>
    <row r="54" spans="5:46" outlineLevel="1">
      <c r="E54" s="57" t="s">
        <v>247</v>
      </c>
      <c r="F54" s="38"/>
      <c r="G54" s="38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>
        <f t="shared" ref="R54:AC54" si="93">(R25+R23+R24+R20+R12+R15+R16+R148+R77)/R10</f>
        <v>0.30174340634778724</v>
      </c>
      <c r="S54" s="144">
        <f t="shared" si="93"/>
        <v>0.35312140942167752</v>
      </c>
      <c r="T54" s="144">
        <f t="shared" si="93"/>
        <v>0.43138207432596554</v>
      </c>
      <c r="U54" s="144">
        <f t="shared" si="93"/>
        <v>0.46215943491422806</v>
      </c>
      <c r="V54" s="144">
        <f t="shared" si="93"/>
        <v>0.47810026385224275</v>
      </c>
      <c r="W54" s="144">
        <f t="shared" si="93"/>
        <v>0.48684889118102115</v>
      </c>
      <c r="X54" s="144">
        <f t="shared" si="93"/>
        <v>0.47882679625130165</v>
      </c>
      <c r="Y54" s="144">
        <f t="shared" si="93"/>
        <v>0.47643427194699595</v>
      </c>
      <c r="Z54" s="144">
        <f t="shared" si="93"/>
        <v>0.48005467876227165</v>
      </c>
      <c r="AA54" s="144">
        <f t="shared" si="93"/>
        <v>0.46572559084589882</v>
      </c>
      <c r="AB54" s="144">
        <f t="shared" si="93"/>
        <v>0.46096131301289567</v>
      </c>
      <c r="AC54" s="144">
        <f t="shared" si="93"/>
        <v>0.45430218196788802</v>
      </c>
      <c r="AD54" s="144">
        <f t="shared" ref="AD54:AN54" ca="1" si="94">(AD25+AD23+AD24+AD20+AD12+AD15+AD16+AD148)/AD10</f>
        <v>0.45833607060170944</v>
      </c>
      <c r="AE54" s="144">
        <f t="shared" ca="1" si="94"/>
        <v>0.48781663471732922</v>
      </c>
      <c r="AF54" s="144">
        <f t="shared" ca="1" si="94"/>
        <v>0.49129343337464021</v>
      </c>
      <c r="AG54" s="144">
        <f t="shared" ca="1" si="94"/>
        <v>0.49625959746452758</v>
      </c>
      <c r="AH54" s="144">
        <f t="shared" ca="1" si="94"/>
        <v>0.50083856447443209</v>
      </c>
      <c r="AI54" s="144">
        <f t="shared" ca="1" si="94"/>
        <v>0.50651081835664147</v>
      </c>
      <c r="AJ54" s="144">
        <f t="shared" ca="1" si="94"/>
        <v>0.5115398165029077</v>
      </c>
      <c r="AK54" s="144">
        <f t="shared" ca="1" si="94"/>
        <v>0.51746440069077593</v>
      </c>
      <c r="AL54" s="144">
        <f t="shared" ca="1" si="94"/>
        <v>0.52544776663945303</v>
      </c>
      <c r="AM54" s="144">
        <f t="shared" ca="1" si="94"/>
        <v>0.5335304310440151</v>
      </c>
      <c r="AN54" s="144">
        <f t="shared" ca="1" si="94"/>
        <v>0.53581838470987597</v>
      </c>
      <c r="AO54" s="6"/>
      <c r="AS54" s="15">
        <f t="shared" ca="1" si="86"/>
        <v>0.50290375338664328</v>
      </c>
      <c r="AT54" s="15">
        <f t="shared" si="87"/>
        <v>0.46747954970607097</v>
      </c>
    </row>
    <row r="55" spans="5:46" outlineLevel="1">
      <c r="E55" s="57" t="s">
        <v>63</v>
      </c>
      <c r="F55" s="38"/>
      <c r="G55" s="38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>
        <f t="shared" ref="R55:AN55" si="95">(R25+R23+R24+R20+R12+R15)/R10</f>
        <v>0.28654447921323201</v>
      </c>
      <c r="S55" s="144">
        <f t="shared" si="95"/>
        <v>0.33397165836844123</v>
      </c>
      <c r="T55" s="144">
        <f t="shared" si="95"/>
        <v>0.36361428224435266</v>
      </c>
      <c r="U55" s="144">
        <f t="shared" si="95"/>
        <v>0.43955600403632694</v>
      </c>
      <c r="V55" s="144">
        <f t="shared" si="95"/>
        <v>0.45716798592788038</v>
      </c>
      <c r="W55" s="144">
        <f t="shared" si="95"/>
        <v>0.47687811586728557</v>
      </c>
      <c r="X55" s="144">
        <f t="shared" si="95"/>
        <v>0.46251301631377995</v>
      </c>
      <c r="Y55" s="144">
        <f t="shared" si="95"/>
        <v>0.43592832404758319</v>
      </c>
      <c r="Z55" s="144">
        <f t="shared" si="95"/>
        <v>0.45085124891263822</v>
      </c>
      <c r="AA55" s="144">
        <f t="shared" si="95"/>
        <v>0.44914982354828359</v>
      </c>
      <c r="AB55" s="144">
        <f t="shared" si="95"/>
        <v>0.44501758499413835</v>
      </c>
      <c r="AC55" s="144">
        <f t="shared" si="95"/>
        <v>0.43773157678056812</v>
      </c>
      <c r="AD55" s="144">
        <f t="shared" ca="1" si="95"/>
        <v>0.45833607060170944</v>
      </c>
      <c r="AE55" s="144">
        <f t="shared" ca="1" si="95"/>
        <v>0.48781663471732922</v>
      </c>
      <c r="AF55" s="144">
        <f t="shared" ca="1" si="95"/>
        <v>0.49129343337464021</v>
      </c>
      <c r="AG55" s="144">
        <f t="shared" ca="1" si="95"/>
        <v>0.49625959746452758</v>
      </c>
      <c r="AH55" s="144">
        <f t="shared" ca="1" si="95"/>
        <v>0.50083856447443209</v>
      </c>
      <c r="AI55" s="144">
        <f t="shared" ca="1" si="95"/>
        <v>0.50651081835664147</v>
      </c>
      <c r="AJ55" s="144">
        <f t="shared" ca="1" si="95"/>
        <v>0.5115398165029077</v>
      </c>
      <c r="AK55" s="144">
        <f t="shared" ca="1" si="95"/>
        <v>0.51746440069077593</v>
      </c>
      <c r="AL55" s="144">
        <f t="shared" ca="1" si="95"/>
        <v>0.52544776663945303</v>
      </c>
      <c r="AM55" s="144">
        <f t="shared" ca="1" si="95"/>
        <v>0.5335304310440151</v>
      </c>
      <c r="AN55" s="144">
        <f t="shared" ca="1" si="95"/>
        <v>0.53581838470987597</v>
      </c>
      <c r="AO55" s="6"/>
      <c r="AS55" s="15">
        <f t="shared" ca="1" si="86"/>
        <v>0.50290375338664328</v>
      </c>
      <c r="AT55" s="15">
        <f t="shared" si="87"/>
        <v>0.44184079626728368</v>
      </c>
    </row>
    <row r="56" spans="5:46" outlineLevel="1">
      <c r="E56" s="57" t="s">
        <v>126</v>
      </c>
      <c r="F56" s="38"/>
      <c r="G56" s="38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>
        <f t="shared" ref="R56:AN56" si="96">IFERROR(R19/R10,"na")</f>
        <v>8.8064371926687535E-2</v>
      </c>
      <c r="S56" s="144">
        <f t="shared" si="96"/>
        <v>0.15166602834163156</v>
      </c>
      <c r="T56" s="144">
        <f t="shared" si="96"/>
        <v>0.14355112946320137</v>
      </c>
      <c r="U56" s="144">
        <f t="shared" si="96"/>
        <v>0.2175580221997982</v>
      </c>
      <c r="V56" s="144">
        <f t="shared" si="96"/>
        <v>0.24467897977132805</v>
      </c>
      <c r="W56" s="144">
        <f t="shared" si="96"/>
        <v>0.26095925734914904</v>
      </c>
      <c r="X56" s="144">
        <f t="shared" si="96"/>
        <v>0.24557445331482125</v>
      </c>
      <c r="Y56" s="144">
        <f t="shared" si="96"/>
        <v>0.22692365607589218</v>
      </c>
      <c r="Z56" s="144">
        <f t="shared" si="96"/>
        <v>0.24245060270908414</v>
      </c>
      <c r="AA56" s="144">
        <f t="shared" si="96"/>
        <v>0.23013581435140626</v>
      </c>
      <c r="AB56" s="144">
        <f t="shared" si="96"/>
        <v>0.21101992966002345</v>
      </c>
      <c r="AC56" s="144">
        <f t="shared" si="96"/>
        <v>0.23435570193495264</v>
      </c>
      <c r="AD56" s="144">
        <f t="shared" si="96"/>
        <v>0.26803581185628927</v>
      </c>
      <c r="AE56" s="144">
        <f t="shared" ca="1" si="96"/>
        <v>0.27817375220438173</v>
      </c>
      <c r="AF56" s="144">
        <f t="shared" ca="1" si="96"/>
        <v>0.28570086984563664</v>
      </c>
      <c r="AG56" s="144">
        <f t="shared" ca="1" si="96"/>
        <v>0.29290324531554374</v>
      </c>
      <c r="AH56" s="144">
        <f t="shared" ca="1" si="96"/>
        <v>0.30008569209370628</v>
      </c>
      <c r="AI56" s="144">
        <f t="shared" ca="1" si="96"/>
        <v>0.3070590788843654</v>
      </c>
      <c r="AJ56" s="144">
        <f t="shared" ca="1" si="96"/>
        <v>0.31408437835357561</v>
      </c>
      <c r="AK56" s="144">
        <f t="shared" ca="1" si="96"/>
        <v>0.32095686144454666</v>
      </c>
      <c r="AL56" s="144">
        <f t="shared" ca="1" si="96"/>
        <v>0.32750658204459226</v>
      </c>
      <c r="AM56" s="144">
        <f t="shared" ca="1" si="96"/>
        <v>0.33399597967364475</v>
      </c>
      <c r="AN56" s="144">
        <f t="shared" ca="1" si="96"/>
        <v>0.33460448531298426</v>
      </c>
      <c r="AO56" s="6"/>
      <c r="AS56" s="15">
        <f t="shared" ca="1" si="86"/>
        <v>0.30285022517162818</v>
      </c>
      <c r="AT56" s="15">
        <f t="shared" si="87"/>
        <v>0.22572075468296565</v>
      </c>
    </row>
    <row r="57" spans="5:46" outlineLevel="1">
      <c r="E57" s="57" t="s">
        <v>211</v>
      </c>
      <c r="F57" s="38"/>
      <c r="G57" s="38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>
        <f t="shared" ref="R57:AN57" si="97">IFERROR(R25/R10,"na")</f>
        <v>-9.8345999105945471E-3</v>
      </c>
      <c r="S57" s="144">
        <f t="shared" si="97"/>
        <v>3.8682497127537345E-2</v>
      </c>
      <c r="T57" s="144">
        <f t="shared" si="97"/>
        <v>1.8217148409035707E-2</v>
      </c>
      <c r="U57" s="144">
        <f t="shared" si="97"/>
        <v>7.8102926337033293E-2</v>
      </c>
      <c r="V57" s="144">
        <f t="shared" si="97"/>
        <v>9.498680738786279E-2</v>
      </c>
      <c r="W57" s="144">
        <f t="shared" si="97"/>
        <v>0.10056730273336771</v>
      </c>
      <c r="X57" s="144">
        <f t="shared" si="97"/>
        <v>9.8229781325928495E-2</v>
      </c>
      <c r="Y57" s="144">
        <f t="shared" si="97"/>
        <v>0.20268031922903176</v>
      </c>
      <c r="Z57" s="144">
        <f t="shared" si="97"/>
        <v>0.13619982602212005</v>
      </c>
      <c r="AA57" s="144">
        <f t="shared" si="97"/>
        <v>0.12554806972516308</v>
      </c>
      <c r="AB57" s="144">
        <f t="shared" si="97"/>
        <v>0.10433763188745604</v>
      </c>
      <c r="AC57" s="144">
        <f t="shared" si="97"/>
        <v>0.14265129682997119</v>
      </c>
      <c r="AD57" s="144">
        <f t="shared" ca="1" si="97"/>
        <v>0.17188596775327478</v>
      </c>
      <c r="AE57" s="144">
        <f t="shared" ca="1" si="97"/>
        <v>0.17513035919805883</v>
      </c>
      <c r="AF57" s="144">
        <f t="shared" ca="1" si="97"/>
        <v>0.17942225388480942</v>
      </c>
      <c r="AG57" s="144">
        <f t="shared" ca="1" si="97"/>
        <v>0.18478605646377566</v>
      </c>
      <c r="AH57" s="144">
        <f t="shared" ca="1" si="97"/>
        <v>0.19024933213458686</v>
      </c>
      <c r="AI57" s="144">
        <f t="shared" ca="1" si="97"/>
        <v>0.19540424132836795</v>
      </c>
      <c r="AJ57" s="144">
        <f t="shared" ca="1" si="97"/>
        <v>0.2007342432546648</v>
      </c>
      <c r="AK57" s="144">
        <f t="shared" ca="1" si="97"/>
        <v>0.2058131497424539</v>
      </c>
      <c r="AL57" s="144">
        <f t="shared" ca="1" si="97"/>
        <v>0.21041953376782882</v>
      </c>
      <c r="AM57" s="144">
        <f t="shared" ca="1" si="97"/>
        <v>0.21506158050012988</v>
      </c>
      <c r="AN57" s="144">
        <f t="shared" ca="1" si="97"/>
        <v>0.21549834474993071</v>
      </c>
      <c r="AO57" s="6"/>
      <c r="AS57" s="15">
        <f t="shared" ca="1" si="86"/>
        <v>0.19289067180279509</v>
      </c>
      <c r="AT57" s="15">
        <f t="shared" si="87"/>
        <v>0.11015211098869701</v>
      </c>
    </row>
    <row r="58" spans="5:46" outlineLevel="1">
      <c r="E58" s="57" t="s">
        <v>353</v>
      </c>
      <c r="F58" s="38"/>
      <c r="G58" s="38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>
        <f t="shared" ref="R58:AN58" si="98">+(R152+R155+R156+R159)/R10</f>
        <v>0</v>
      </c>
      <c r="S58" s="144">
        <f t="shared" si="98"/>
        <v>8.8088854844887016E-3</v>
      </c>
      <c r="T58" s="144">
        <f t="shared" si="98"/>
        <v>-5.0522224921059025E-2</v>
      </c>
      <c r="U58" s="144">
        <f t="shared" si="98"/>
        <v>0.10696266397578204</v>
      </c>
      <c r="V58" s="144">
        <f t="shared" si="98"/>
        <v>9.797713280562885E-2</v>
      </c>
      <c r="W58" s="144">
        <f t="shared" si="98"/>
        <v>0.1566099363933299</v>
      </c>
      <c r="X58" s="144">
        <f t="shared" si="98"/>
        <v>0.19472405414786531</v>
      </c>
      <c r="Y58" s="144">
        <f t="shared" si="98"/>
        <v>0.13582291823520554</v>
      </c>
      <c r="Z58" s="144">
        <f t="shared" si="98"/>
        <v>0.15757425127376662</v>
      </c>
      <c r="AA58" s="144">
        <f t="shared" si="98"/>
        <v>0.16714789862046839</v>
      </c>
      <c r="AB58" s="144">
        <f t="shared" si="98"/>
        <v>0.28569753810082066</v>
      </c>
      <c r="AC58" s="144">
        <f t="shared" si="98"/>
        <v>0.15582544256895842</v>
      </c>
      <c r="AD58" s="144">
        <f t="shared" ca="1" si="98"/>
        <v>0.14184744287596179</v>
      </c>
      <c r="AE58" s="144">
        <f t="shared" ca="1" si="98"/>
        <v>0.15987259729618283</v>
      </c>
      <c r="AF58" s="144">
        <f t="shared" ca="1" si="98"/>
        <v>0.15577785412009082</v>
      </c>
      <c r="AG58" s="144">
        <f t="shared" ca="1" si="98"/>
        <v>0.15157199287351139</v>
      </c>
      <c r="AH58" s="144">
        <f t="shared" ca="1" si="98"/>
        <v>0.14627375364869044</v>
      </c>
      <c r="AI58" s="144">
        <f t="shared" ca="1" si="98"/>
        <v>0.14186598360553759</v>
      </c>
      <c r="AJ58" s="144">
        <f t="shared" ca="1" si="98"/>
        <v>0.1361226388651971</v>
      </c>
      <c r="AK58" s="144">
        <f t="shared" ca="1" si="98"/>
        <v>0.13931587395848158</v>
      </c>
      <c r="AL58" s="144">
        <f t="shared" ca="1" si="98"/>
        <v>0.14499328565338601</v>
      </c>
      <c r="AM58" s="144">
        <f t="shared" ca="1" si="98"/>
        <v>0.15071069824522937</v>
      </c>
      <c r="AN58" s="144">
        <f t="shared" ca="1" si="98"/>
        <v>0.15236641772483739</v>
      </c>
      <c r="AO58" s="6"/>
      <c r="AP58" s="144"/>
      <c r="AS58" s="15">
        <f t="shared" ca="1" si="86"/>
        <v>0.1468352121142269</v>
      </c>
      <c r="AT58" s="15">
        <f t="shared" si="87"/>
        <v>0.14078196112007668</v>
      </c>
    </row>
    <row r="59" spans="5:46" outlineLevel="1">
      <c r="E59" s="57" t="s">
        <v>368</v>
      </c>
      <c r="F59" s="38"/>
      <c r="G59" s="38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>
        <f t="shared" ref="R59:AN59" si="99">++(R152+R155+R156+R159)/(R25+R23+R24+R20+R12+R15+R16+R148+R77)</f>
        <v>0</v>
      </c>
      <c r="S59" s="144">
        <f t="shared" si="99"/>
        <v>2.4945770065075923E-2</v>
      </c>
      <c r="T59" s="144">
        <f t="shared" si="99"/>
        <v>-0.11711711711711711</v>
      </c>
      <c r="U59" s="144">
        <f t="shared" si="99"/>
        <v>0.23144104803493451</v>
      </c>
      <c r="V59" s="144">
        <f t="shared" si="99"/>
        <v>0.20493009565857248</v>
      </c>
      <c r="W59" s="144">
        <f t="shared" si="99"/>
        <v>0.32168079096045199</v>
      </c>
      <c r="X59" s="144">
        <f t="shared" si="99"/>
        <v>0.40666908300108734</v>
      </c>
      <c r="Y59" s="144">
        <f t="shared" si="99"/>
        <v>0.28508217446270545</v>
      </c>
      <c r="Z59" s="144">
        <f t="shared" si="99"/>
        <v>0.3282422987315558</v>
      </c>
      <c r="AA59" s="144">
        <f t="shared" si="99"/>
        <v>0.35889781859931114</v>
      </c>
      <c r="AB59" s="144">
        <f t="shared" si="99"/>
        <v>0.61978636826042721</v>
      </c>
      <c r="AC59" s="144">
        <f t="shared" si="99"/>
        <v>0.34299954689623924</v>
      </c>
      <c r="AD59" s="144">
        <f t="shared" ca="1" si="99"/>
        <v>0.30948348160715927</v>
      </c>
      <c r="AE59" s="144">
        <f t="shared" ca="1" si="99"/>
        <v>0.3277309257582468</v>
      </c>
      <c r="AF59" s="144">
        <f t="shared" ca="1" si="99"/>
        <v>0.31707701250975406</v>
      </c>
      <c r="AG59" s="144">
        <f t="shared" ca="1" si="99"/>
        <v>0.3054288393572997</v>
      </c>
      <c r="AH59" s="144">
        <f t="shared" ca="1" si="99"/>
        <v>0.29205768889260075</v>
      </c>
      <c r="AI59" s="144">
        <f t="shared" ca="1" si="99"/>
        <v>0.28008480463619184</v>
      </c>
      <c r="AJ59" s="144">
        <f t="shared" ca="1" si="99"/>
        <v>0.26610370194794675</v>
      </c>
      <c r="AK59" s="144">
        <f t="shared" ca="1" si="99"/>
        <v>0.26922793871907985</v>
      </c>
      <c r="AL59" s="144">
        <f t="shared" ca="1" si="99"/>
        <v>0.27594233881838193</v>
      </c>
      <c r="AM59" s="144">
        <f t="shared" ca="1" si="99"/>
        <v>0.28247816708471135</v>
      </c>
      <c r="AN59" s="144">
        <f t="shared" ca="1" si="99"/>
        <v>0.28436205638471634</v>
      </c>
      <c r="AO59" s="6"/>
      <c r="AS59" s="15">
        <f t="shared" ca="1" si="86"/>
        <v>0.29256148993313719</v>
      </c>
      <c r="AT59" s="15">
        <f t="shared" si="87"/>
        <v>0.29826121074881684</v>
      </c>
    </row>
    <row r="60" spans="5:46" outlineLevel="1">
      <c r="E60" s="57"/>
      <c r="F60" s="38"/>
      <c r="G60" s="38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6"/>
      <c r="AS60" s="15"/>
      <c r="AT60" s="15"/>
    </row>
    <row r="61" spans="5:46" outlineLevel="1">
      <c r="E61" s="301" t="s">
        <v>370</v>
      </c>
      <c r="F61" s="172"/>
      <c r="G61" s="172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6"/>
      <c r="AS61" s="15"/>
      <c r="AT61" s="15"/>
    </row>
    <row r="62" spans="5:46" outlineLevel="1">
      <c r="E62" s="57" t="s">
        <v>373</v>
      </c>
      <c r="F62" s="38"/>
      <c r="G62" s="38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61">
        <v>643</v>
      </c>
      <c r="T62" s="161">
        <v>1239</v>
      </c>
      <c r="U62" s="161">
        <v>1557</v>
      </c>
      <c r="V62" s="161">
        <v>1790</v>
      </c>
      <c r="W62" s="161">
        <v>1819</v>
      </c>
      <c r="X62" s="161">
        <v>1725</v>
      </c>
      <c r="Y62" s="161">
        <v>1950</v>
      </c>
      <c r="Z62" s="161">
        <v>2293</v>
      </c>
      <c r="AA62" s="161">
        <v>2407</v>
      </c>
      <c r="AB62" s="161">
        <v>1954</v>
      </c>
      <c r="AC62" s="161">
        <v>2269</v>
      </c>
      <c r="AD62" s="182">
        <f>+AD65*AD7</f>
        <v>3022.8798300565718</v>
      </c>
      <c r="AE62" s="182">
        <f t="shared" ref="AE62:AN62" ca="1" si="100">+AE65*AE7</f>
        <v>3324.660365348836</v>
      </c>
      <c r="AF62" s="182">
        <f t="shared" ca="1" si="100"/>
        <v>3519.858446966085</v>
      </c>
      <c r="AG62" s="182">
        <f t="shared" ca="1" si="100"/>
        <v>3709.912151964289</v>
      </c>
      <c r="AH62" s="182">
        <f t="shared" ca="1" si="100"/>
        <v>3931.7167876018866</v>
      </c>
      <c r="AI62" s="182">
        <f t="shared" ca="1" si="100"/>
        <v>4152.0515972976063</v>
      </c>
      <c r="AJ62" s="182">
        <f t="shared" ca="1" si="100"/>
        <v>4412.1081591464172</v>
      </c>
      <c r="AK62" s="182">
        <f t="shared" ca="1" si="100"/>
        <v>4674.9150359376126</v>
      </c>
      <c r="AL62" s="182">
        <f t="shared" ca="1" si="100"/>
        <v>4893.6993590686061</v>
      </c>
      <c r="AM62" s="182">
        <f t="shared" ca="1" si="100"/>
        <v>5110.1428189422004</v>
      </c>
      <c r="AN62" s="182">
        <f t="shared" ca="1" si="100"/>
        <v>5205.7178303674464</v>
      </c>
      <c r="AO62" s="6"/>
      <c r="AP62" s="6"/>
      <c r="AQ62" s="6"/>
      <c r="AR62" s="6"/>
      <c r="AS62" s="15"/>
      <c r="AT62" s="15"/>
    </row>
    <row r="63" spans="5:46" outlineLevel="1">
      <c r="E63" s="57" t="s">
        <v>371</v>
      </c>
      <c r="F63" s="38"/>
      <c r="G63" s="38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61">
        <v>93</v>
      </c>
      <c r="T63" s="161">
        <v>125</v>
      </c>
      <c r="U63" s="161">
        <v>153</v>
      </c>
      <c r="V63" s="161">
        <v>302</v>
      </c>
      <c r="W63" s="161">
        <v>328</v>
      </c>
      <c r="X63" s="161">
        <v>364</v>
      </c>
      <c r="Y63" s="161">
        <v>490</v>
      </c>
      <c r="Z63" s="161">
        <v>670</v>
      </c>
      <c r="AA63" s="161">
        <v>800</v>
      </c>
      <c r="AB63" s="161">
        <v>765</v>
      </c>
      <c r="AC63" s="161">
        <v>998</v>
      </c>
      <c r="AD63" s="182">
        <f>+AD66*AD8</f>
        <v>1050.3243800565642</v>
      </c>
      <c r="AE63" s="182">
        <f t="shared" ref="AE63:AN63" ca="1" si="101">+AE66*AE8</f>
        <v>1274.0499892979183</v>
      </c>
      <c r="AF63" s="182">
        <f t="shared" ca="1" si="101"/>
        <v>1425.6188594070836</v>
      </c>
      <c r="AG63" s="182">
        <f t="shared" ca="1" si="101"/>
        <v>1585.5766968654243</v>
      </c>
      <c r="AH63" s="182">
        <f t="shared" ca="1" si="101"/>
        <v>1770.614272883837</v>
      </c>
      <c r="AI63" s="182">
        <f t="shared" ca="1" si="101"/>
        <v>1967.679075942551</v>
      </c>
      <c r="AJ63" s="182">
        <f t="shared" ca="1" si="101"/>
        <v>2197.7175067941894</v>
      </c>
      <c r="AK63" s="182">
        <f t="shared" ca="1" si="101"/>
        <v>2444.9242673926742</v>
      </c>
      <c r="AL63" s="182">
        <f t="shared" ca="1" si="101"/>
        <v>2684.5378898719564</v>
      </c>
      <c r="AM63" s="182">
        <f t="shared" ca="1" si="101"/>
        <v>2937.7804262336094</v>
      </c>
      <c r="AN63" s="182">
        <f t="shared" ca="1" si="101"/>
        <v>3205.0128433232421</v>
      </c>
      <c r="AO63" s="6"/>
      <c r="AP63" s="6"/>
      <c r="AQ63" s="6"/>
      <c r="AR63" s="6"/>
      <c r="AS63" s="15"/>
      <c r="AT63" s="15"/>
    </row>
    <row r="64" spans="5:46" outlineLevel="1">
      <c r="E64" s="57" t="s">
        <v>376</v>
      </c>
      <c r="F64" s="38"/>
      <c r="G64" s="38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82">
        <f t="shared" ref="S64:AC64" si="102">+S13-S62-S63</f>
        <v>162</v>
      </c>
      <c r="T64" s="182">
        <f t="shared" si="102"/>
        <v>223</v>
      </c>
      <c r="U64" s="182">
        <f t="shared" si="102"/>
        <v>277</v>
      </c>
      <c r="V64" s="182">
        <f t="shared" si="102"/>
        <v>340</v>
      </c>
      <c r="W64" s="182">
        <f t="shared" si="102"/>
        <v>333</v>
      </c>
      <c r="X64" s="182">
        <f t="shared" si="102"/>
        <v>314</v>
      </c>
      <c r="Y64" s="182">
        <f t="shared" si="102"/>
        <v>329</v>
      </c>
      <c r="Z64" s="182">
        <f t="shared" si="102"/>
        <v>401</v>
      </c>
      <c r="AA64" s="182">
        <f t="shared" si="102"/>
        <v>463</v>
      </c>
      <c r="AB64" s="182">
        <f t="shared" si="102"/>
        <v>464</v>
      </c>
      <c r="AC64" s="182">
        <f t="shared" si="102"/>
        <v>586</v>
      </c>
      <c r="AD64" s="182">
        <f>+AD67*AD9</f>
        <v>750.80295000000012</v>
      </c>
      <c r="AE64" s="182">
        <f t="shared" ref="AE64:AN64" si="103">+AE67*AE9</f>
        <v>792.58150125000009</v>
      </c>
      <c r="AF64" s="182">
        <f t="shared" si="103"/>
        <v>836.66090025000028</v>
      </c>
      <c r="AG64" s="182">
        <f t="shared" si="103"/>
        <v>883.1667853968753</v>
      </c>
      <c r="AH64" s="182">
        <f t="shared" si="103"/>
        <v>932.2316068078128</v>
      </c>
      <c r="AI64" s="182">
        <f t="shared" si="103"/>
        <v>983.9949933963519</v>
      </c>
      <c r="AJ64" s="182">
        <f t="shared" si="103"/>
        <v>1038.6041396267256</v>
      </c>
      <c r="AK64" s="182">
        <f t="shared" si="103"/>
        <v>1096.2142129966455</v>
      </c>
      <c r="AL64" s="182">
        <f t="shared" si="103"/>
        <v>1156.9887833544906</v>
      </c>
      <c r="AM64" s="182">
        <f t="shared" si="103"/>
        <v>1221.1002752156287</v>
      </c>
      <c r="AN64" s="182">
        <f t="shared" si="103"/>
        <v>1288.7304443044943</v>
      </c>
      <c r="AO64" s="6"/>
      <c r="AP64" s="6"/>
      <c r="AQ64" s="6"/>
      <c r="AR64" s="6"/>
      <c r="AS64" s="15"/>
      <c r="AT64" s="15"/>
    </row>
    <row r="65" spans="5:46" outlineLevel="1">
      <c r="E65" s="57" t="s">
        <v>374</v>
      </c>
      <c r="F65" s="38"/>
      <c r="G65" s="38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>
        <f t="shared" ref="S65:AC65" si="104">+S62/S7</f>
        <v>0.32923707117255502</v>
      </c>
      <c r="T65" s="144">
        <f t="shared" si="104"/>
        <v>0.3886449184441656</v>
      </c>
      <c r="U65" s="144">
        <f t="shared" si="104"/>
        <v>0.4024295683639183</v>
      </c>
      <c r="V65" s="144">
        <f t="shared" si="104"/>
        <v>0.42396968261487444</v>
      </c>
      <c r="W65" s="144">
        <f t="shared" si="104"/>
        <v>0.42890827634991746</v>
      </c>
      <c r="X65" s="144">
        <f t="shared" si="104"/>
        <v>0.414066250600096</v>
      </c>
      <c r="Y65" s="144">
        <f t="shared" si="104"/>
        <v>0.41252379944996825</v>
      </c>
      <c r="Z65" s="144">
        <f t="shared" si="104"/>
        <v>0.41315315315315315</v>
      </c>
      <c r="AA65" s="144">
        <f t="shared" si="104"/>
        <v>0.38810061270557883</v>
      </c>
      <c r="AB65" s="144">
        <f t="shared" si="104"/>
        <v>0.35709064327485379</v>
      </c>
      <c r="AC65" s="144">
        <f t="shared" si="104"/>
        <v>0.37355943365162991</v>
      </c>
      <c r="AD65" s="252">
        <v>0.4</v>
      </c>
      <c r="AE65" s="252">
        <f t="shared" ref="AE65:AN66" si="105">+AD65+0.005</f>
        <v>0.40500000000000003</v>
      </c>
      <c r="AF65" s="252">
        <f t="shared" si="105"/>
        <v>0.41000000000000003</v>
      </c>
      <c r="AG65" s="252">
        <f t="shared" si="105"/>
        <v>0.41500000000000004</v>
      </c>
      <c r="AH65" s="252">
        <f t="shared" si="105"/>
        <v>0.42000000000000004</v>
      </c>
      <c r="AI65" s="252">
        <f t="shared" si="105"/>
        <v>0.42500000000000004</v>
      </c>
      <c r="AJ65" s="252">
        <f t="shared" si="105"/>
        <v>0.43000000000000005</v>
      </c>
      <c r="AK65" s="252">
        <f t="shared" si="105"/>
        <v>0.43500000000000005</v>
      </c>
      <c r="AL65" s="252">
        <f t="shared" si="105"/>
        <v>0.44000000000000006</v>
      </c>
      <c r="AM65" s="252">
        <f t="shared" si="105"/>
        <v>0.44500000000000006</v>
      </c>
      <c r="AN65" s="252">
        <v>0.44</v>
      </c>
      <c r="AO65" s="6"/>
      <c r="AP65" s="6"/>
      <c r="AQ65" s="6"/>
      <c r="AR65" s="6"/>
      <c r="AS65" s="15"/>
      <c r="AT65" s="15"/>
    </row>
    <row r="66" spans="5:46" outlineLevel="1">
      <c r="E66" s="57" t="s">
        <v>372</v>
      </c>
      <c r="F66" s="38"/>
      <c r="G66" s="38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>
        <f>+S63/S8</f>
        <v>0.46969696969696972</v>
      </c>
      <c r="T66" s="144">
        <f t="shared" ref="T66:AC66" si="106">+T63/T8</f>
        <v>0.46816479400749061</v>
      </c>
      <c r="U66" s="144">
        <f t="shared" si="106"/>
        <v>0.46788990825688076</v>
      </c>
      <c r="V66" s="144">
        <f t="shared" si="106"/>
        <v>0.5058626465661642</v>
      </c>
      <c r="W66" s="144">
        <f t="shared" si="106"/>
        <v>0.4632768361581921</v>
      </c>
      <c r="X66" s="144">
        <f t="shared" si="106"/>
        <v>0.4696774193548387</v>
      </c>
      <c r="Y66" s="144">
        <f t="shared" si="106"/>
        <v>0.4959514170040486</v>
      </c>
      <c r="Z66" s="144">
        <f t="shared" si="106"/>
        <v>0.48201438848920863</v>
      </c>
      <c r="AA66" s="144">
        <f t="shared" si="106"/>
        <v>0.45402951191827468</v>
      </c>
      <c r="AB66" s="144">
        <f t="shared" si="106"/>
        <v>0.45863309352517984</v>
      </c>
      <c r="AC66" s="144">
        <f t="shared" si="106"/>
        <v>0.46788560712611343</v>
      </c>
      <c r="AD66" s="252">
        <v>0.48</v>
      </c>
      <c r="AE66" s="252">
        <v>0.505</v>
      </c>
      <c r="AF66" s="252">
        <f t="shared" si="105"/>
        <v>0.51</v>
      </c>
      <c r="AG66" s="252">
        <f t="shared" si="105"/>
        <v>0.51500000000000001</v>
      </c>
      <c r="AH66" s="252">
        <f t="shared" si="105"/>
        <v>0.52</v>
      </c>
      <c r="AI66" s="252">
        <f t="shared" si="105"/>
        <v>0.52500000000000002</v>
      </c>
      <c r="AJ66" s="252">
        <f t="shared" si="105"/>
        <v>0.53</v>
      </c>
      <c r="AK66" s="252">
        <f t="shared" si="105"/>
        <v>0.53500000000000003</v>
      </c>
      <c r="AL66" s="252">
        <f t="shared" si="105"/>
        <v>0.54</v>
      </c>
      <c r="AM66" s="252">
        <f t="shared" si="105"/>
        <v>0.54500000000000004</v>
      </c>
      <c r="AN66" s="252">
        <f t="shared" si="105"/>
        <v>0.55000000000000004</v>
      </c>
      <c r="AO66" s="6"/>
      <c r="AP66" s="6"/>
      <c r="AQ66" s="6"/>
      <c r="AR66" s="6"/>
      <c r="AS66" s="15"/>
      <c r="AT66" s="15"/>
    </row>
    <row r="67" spans="5:46" outlineLevel="1">
      <c r="E67" s="57" t="s">
        <v>375</v>
      </c>
      <c r="F67" s="38"/>
      <c r="G67" s="38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>
        <f>+S64/S9</f>
        <v>0.35217391304347828</v>
      </c>
      <c r="T67" s="144">
        <f t="shared" ref="T67:AC67" si="107">+T64/T9</f>
        <v>0.3368580060422961</v>
      </c>
      <c r="U67" s="144">
        <f t="shared" si="107"/>
        <v>0.36495388669301715</v>
      </c>
      <c r="V67" s="144">
        <f t="shared" si="107"/>
        <v>0.39260969976905313</v>
      </c>
      <c r="W67" s="144">
        <f t="shared" si="107"/>
        <v>0.38364055299539168</v>
      </c>
      <c r="X67" s="144">
        <f t="shared" si="107"/>
        <v>0.38246041412911086</v>
      </c>
      <c r="Y67" s="144">
        <f t="shared" si="107"/>
        <v>0.35529157667386607</v>
      </c>
      <c r="Z67" s="144">
        <f t="shared" si="107"/>
        <v>0.36224028906955735</v>
      </c>
      <c r="AA67" s="144">
        <f t="shared" si="107"/>
        <v>0.33381398702235038</v>
      </c>
      <c r="AB67" s="144">
        <f t="shared" si="107"/>
        <v>0.33381294964028779</v>
      </c>
      <c r="AC67" s="144">
        <f t="shared" si="107"/>
        <v>0.38833664678595098</v>
      </c>
      <c r="AD67" s="252">
        <v>0.46500000000000002</v>
      </c>
      <c r="AE67" s="252">
        <f>+AD67+0.0025</f>
        <v>0.46750000000000003</v>
      </c>
      <c r="AF67" s="252">
        <f t="shared" ref="AF67:AN67" si="108">+AE67+0.0025</f>
        <v>0.47000000000000003</v>
      </c>
      <c r="AG67" s="252">
        <f t="shared" si="108"/>
        <v>0.47250000000000003</v>
      </c>
      <c r="AH67" s="252">
        <f t="shared" si="108"/>
        <v>0.47500000000000003</v>
      </c>
      <c r="AI67" s="252">
        <f t="shared" si="108"/>
        <v>0.47750000000000004</v>
      </c>
      <c r="AJ67" s="252">
        <f t="shared" si="108"/>
        <v>0.48000000000000004</v>
      </c>
      <c r="AK67" s="252">
        <f t="shared" si="108"/>
        <v>0.48250000000000004</v>
      </c>
      <c r="AL67" s="252">
        <f t="shared" si="108"/>
        <v>0.48500000000000004</v>
      </c>
      <c r="AM67" s="252">
        <f t="shared" si="108"/>
        <v>0.48750000000000004</v>
      </c>
      <c r="AN67" s="252">
        <f t="shared" si="108"/>
        <v>0.49000000000000005</v>
      </c>
      <c r="AO67" s="6"/>
      <c r="AP67" s="6"/>
      <c r="AQ67" s="6"/>
      <c r="AR67" s="6"/>
      <c r="AS67" s="15"/>
      <c r="AT67" s="15"/>
    </row>
    <row r="68" spans="5:46" outlineLevel="1">
      <c r="E68" s="302" t="s">
        <v>377</v>
      </c>
      <c r="F68" s="66"/>
      <c r="G68" s="66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>
        <f t="shared" ref="S68:AD68" si="109">+SUM(S62:S64)/S10</f>
        <v>0.34392952891612411</v>
      </c>
      <c r="T68" s="303">
        <f t="shared" si="109"/>
        <v>0.38547486033519551</v>
      </c>
      <c r="U68" s="303">
        <f t="shared" si="109"/>
        <v>0.40100908173562061</v>
      </c>
      <c r="V68" s="303">
        <f t="shared" si="109"/>
        <v>0.42779243623570801</v>
      </c>
      <c r="W68" s="303">
        <f t="shared" si="109"/>
        <v>0.42633659962179815</v>
      </c>
      <c r="X68" s="303">
        <f t="shared" si="109"/>
        <v>0.4170426935091982</v>
      </c>
      <c r="Y68" s="303">
        <f t="shared" si="109"/>
        <v>0.41695527781960551</v>
      </c>
      <c r="Z68" s="303">
        <f t="shared" si="109"/>
        <v>0.41804399154964583</v>
      </c>
      <c r="AA68" s="303">
        <f t="shared" si="109"/>
        <v>0.39247139343385734</v>
      </c>
      <c r="AB68" s="303">
        <f t="shared" si="109"/>
        <v>0.3731535756154748</v>
      </c>
      <c r="AC68" s="303">
        <f t="shared" si="109"/>
        <v>0.39656237134623301</v>
      </c>
      <c r="AD68" s="303">
        <f t="shared" si="109"/>
        <v>0.42464831699446021</v>
      </c>
      <c r="AE68" s="303">
        <f t="shared" ref="AE68:AN68" ca="1" si="110">+SUM(AE62:AE64)/AE10</f>
        <v>0.43382750596215053</v>
      </c>
      <c r="AF68" s="303">
        <f t="shared" ca="1" si="110"/>
        <v>0.43935613646167215</v>
      </c>
      <c r="AG68" s="303">
        <f t="shared" ca="1" si="110"/>
        <v>0.44490855788161748</v>
      </c>
      <c r="AH68" s="303">
        <f t="shared" ca="1" si="110"/>
        <v>0.45044673066974489</v>
      </c>
      <c r="AI68" s="303">
        <f t="shared" ca="1" si="110"/>
        <v>0.45600380373736843</v>
      </c>
      <c r="AJ68" s="303">
        <f t="shared" ca="1" si="110"/>
        <v>0.46155199296559346</v>
      </c>
      <c r="AK68" s="303">
        <f t="shared" ca="1" si="110"/>
        <v>0.46711769431085876</v>
      </c>
      <c r="AL68" s="303">
        <f t="shared" ca="1" si="110"/>
        <v>0.47271213888891755</v>
      </c>
      <c r="AM68" s="303">
        <f t="shared" ca="1" si="110"/>
        <v>0.47830960349253571</v>
      </c>
      <c r="AN68" s="303">
        <f t="shared" ca="1" si="110"/>
        <v>0.47807597106076277</v>
      </c>
      <c r="AO68" s="6"/>
      <c r="AP68" s="6"/>
      <c r="AQ68" s="6"/>
      <c r="AR68" s="6"/>
      <c r="AS68" s="15"/>
      <c r="AT68" s="15"/>
    </row>
    <row r="69" spans="5:46" outlineLevel="1">
      <c r="E69" s="57"/>
      <c r="F69" s="38"/>
      <c r="G69" s="38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28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6"/>
      <c r="AP69" s="6"/>
      <c r="AQ69" s="6"/>
      <c r="AR69" s="6"/>
      <c r="AS69" s="15"/>
      <c r="AT69" s="15"/>
    </row>
    <row r="70" spans="5:46" outlineLevel="1">
      <c r="E70" s="129" t="s">
        <v>357</v>
      </c>
      <c r="F70" s="38"/>
      <c r="G70" s="38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61">
        <v>529</v>
      </c>
      <c r="T70" s="161">
        <v>836</v>
      </c>
      <c r="U70" s="161">
        <v>832</v>
      </c>
      <c r="V70" s="161">
        <v>881</v>
      </c>
      <c r="W70" s="161">
        <v>897</v>
      </c>
      <c r="X70" s="161">
        <v>887</v>
      </c>
      <c r="Y70" s="161">
        <v>997</v>
      </c>
      <c r="Z70" s="161">
        <v>1197</v>
      </c>
      <c r="AA70" s="161">
        <v>1175</v>
      </c>
      <c r="AB70" s="161">
        <v>1165</v>
      </c>
      <c r="AC70" s="161">
        <v>1345</v>
      </c>
      <c r="AD70" s="161">
        <f>1343+106</f>
        <v>1449</v>
      </c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6"/>
      <c r="AP70" s="6"/>
      <c r="AQ70" s="6"/>
      <c r="AR70" s="6"/>
      <c r="AS70" s="15"/>
      <c r="AT70" s="15"/>
    </row>
    <row r="71" spans="5:46" outlineLevel="1">
      <c r="E71" s="57" t="s">
        <v>358</v>
      </c>
      <c r="F71" s="38"/>
      <c r="G71" s="38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284">
        <f t="shared" ref="S71:AD71" si="111">+S10/S70</f>
        <v>4.935727788279773</v>
      </c>
      <c r="T71" s="284">
        <f t="shared" si="111"/>
        <v>4.9246411483253585</v>
      </c>
      <c r="U71" s="284">
        <f t="shared" si="111"/>
        <v>5.9555288461538458</v>
      </c>
      <c r="V71" s="284">
        <f t="shared" si="111"/>
        <v>6.452894438138479</v>
      </c>
      <c r="W71" s="284">
        <f t="shared" si="111"/>
        <v>6.4849498327759196</v>
      </c>
      <c r="X71" s="284">
        <f t="shared" si="111"/>
        <v>6.4960541149943634</v>
      </c>
      <c r="Y71" s="284">
        <f t="shared" si="111"/>
        <v>6.6609829488465397</v>
      </c>
      <c r="Z71" s="284">
        <f t="shared" si="111"/>
        <v>6.7226399331662492</v>
      </c>
      <c r="AA71" s="284">
        <f t="shared" si="111"/>
        <v>7.9582978723404256</v>
      </c>
      <c r="AB71" s="284">
        <f t="shared" si="111"/>
        <v>7.3218884120171674</v>
      </c>
      <c r="AC71" s="284">
        <f t="shared" si="111"/>
        <v>7.2237918215613384</v>
      </c>
      <c r="AD71" s="284">
        <f t="shared" si="111"/>
        <v>7.8398932829026498</v>
      </c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6"/>
      <c r="AP71" s="6"/>
      <c r="AQ71" s="6"/>
      <c r="AR71" s="6"/>
      <c r="AS71" s="15"/>
      <c r="AT71" s="15"/>
    </row>
    <row r="72" spans="5:46" outlineLevel="1">
      <c r="E72" s="57"/>
      <c r="F72" s="38"/>
      <c r="G72" s="38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6"/>
    </row>
    <row r="73" spans="5:46" outlineLevel="1">
      <c r="E73" s="129" t="s">
        <v>295</v>
      </c>
      <c r="F73" s="38"/>
      <c r="G73" s="38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6"/>
    </row>
    <row r="74" spans="5:46" outlineLevel="1">
      <c r="E74" s="130" t="s">
        <v>255</v>
      </c>
      <c r="F74" s="38"/>
      <c r="G74" s="38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63">
        <v>0</v>
      </c>
      <c r="S74" s="163">
        <v>19</v>
      </c>
      <c r="T74" s="163">
        <v>111</v>
      </c>
      <c r="U74" s="163">
        <v>9</v>
      </c>
      <c r="V74" s="163">
        <v>11</v>
      </c>
      <c r="W74" s="163">
        <v>-26</v>
      </c>
      <c r="X74" s="163">
        <v>0</v>
      </c>
      <c r="Y74" s="163">
        <v>50</v>
      </c>
      <c r="Z74" s="163">
        <v>36</v>
      </c>
      <c r="AA74" s="163">
        <v>1</v>
      </c>
      <c r="AB74" s="163">
        <v>0</v>
      </c>
      <c r="AC74" s="163">
        <v>3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6"/>
    </row>
    <row r="75" spans="5:46" outlineLevel="1">
      <c r="E75" s="130" t="s">
        <v>256</v>
      </c>
      <c r="F75" s="38"/>
      <c r="G75" s="38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63">
        <v>34</v>
      </c>
      <c r="S75" s="163">
        <v>19</v>
      </c>
      <c r="T75" s="163">
        <v>99</v>
      </c>
      <c r="U75" s="163">
        <v>12</v>
      </c>
      <c r="V75" s="163">
        <v>-1</v>
      </c>
      <c r="W75" s="163">
        <v>6</v>
      </c>
      <c r="X75" s="163">
        <v>14</v>
      </c>
      <c r="Y75" s="163">
        <v>50</v>
      </c>
      <c r="Z75" s="163">
        <v>31</v>
      </c>
      <c r="AA75" s="163">
        <v>18</v>
      </c>
      <c r="AB75" s="163">
        <v>17</v>
      </c>
      <c r="AC75" s="163">
        <v>2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6"/>
    </row>
    <row r="76" spans="5:46" outlineLevel="1">
      <c r="E76" s="129" t="s">
        <v>86</v>
      </c>
      <c r="F76" s="38"/>
      <c r="G76" s="38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6"/>
    </row>
    <row r="77" spans="5:46" outlineLevel="1">
      <c r="E77" s="130" t="s">
        <v>296</v>
      </c>
      <c r="F77" s="38"/>
      <c r="G77" s="38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63"/>
      <c r="S77" s="163"/>
      <c r="T77" s="163">
        <v>37</v>
      </c>
      <c r="U77" s="163">
        <v>45</v>
      </c>
      <c r="V77" s="163">
        <v>35</v>
      </c>
      <c r="W77" s="163">
        <v>29</v>
      </c>
      <c r="X77" s="163">
        <v>35</v>
      </c>
      <c r="Y77" s="163">
        <v>82</v>
      </c>
      <c r="Z77" s="163">
        <v>66</v>
      </c>
      <c r="AA77" s="163">
        <v>75</v>
      </c>
      <c r="AB77" s="163">
        <v>49</v>
      </c>
      <c r="AC77" s="163">
        <v>37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6"/>
    </row>
    <row r="78" spans="5:46" outlineLevel="1">
      <c r="E78" s="130"/>
      <c r="F78" s="38"/>
      <c r="G78" s="38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6"/>
    </row>
    <row r="79" spans="5:46" outlineLevel="1">
      <c r="E79" s="212" t="s">
        <v>327</v>
      </c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6"/>
    </row>
    <row r="80" spans="5:46" outlineLevel="1">
      <c r="E80" s="130" t="s">
        <v>316</v>
      </c>
      <c r="F80" s="38"/>
      <c r="G80" s="38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63">
        <v>41</v>
      </c>
      <c r="S80" s="163">
        <f>66+2</f>
        <v>68</v>
      </c>
      <c r="T80" s="163">
        <f>125+2</f>
        <v>127</v>
      </c>
      <c r="U80" s="163">
        <f>176+6</f>
        <v>182</v>
      </c>
      <c r="V80" s="163">
        <f>229+11</f>
        <v>240</v>
      </c>
      <c r="W80" s="163">
        <f>227+8</f>
        <v>235</v>
      </c>
      <c r="X80" s="163">
        <f>204+4</f>
        <v>208</v>
      </c>
      <c r="Y80" s="163">
        <f>220+4</f>
        <v>224</v>
      </c>
      <c r="Z80" s="163">
        <f>278+6</f>
        <v>284</v>
      </c>
      <c r="AA80" s="163">
        <f>313+6</f>
        <v>319</v>
      </c>
      <c r="AB80" s="163">
        <f>332+8</f>
        <v>340</v>
      </c>
      <c r="AC80" s="163">
        <f>431+10</f>
        <v>441</v>
      </c>
      <c r="AD80" s="44">
        <f>+AD81-AD82</f>
        <v>375</v>
      </c>
      <c r="AE80" s="44">
        <f>+AE81-AE82</f>
        <v>294.36189750000005</v>
      </c>
      <c r="AF80" s="44">
        <f>+AF81-AF82</f>
        <v>303.19275442500003</v>
      </c>
      <c r="AG80" s="44">
        <f t="shared" ref="AG80:AN80" si="112">+AG81-AG82</f>
        <v>312.28853705775009</v>
      </c>
      <c r="AH80" s="44">
        <f t="shared" si="112"/>
        <v>321.65719316948264</v>
      </c>
      <c r="AI80" s="44">
        <f t="shared" si="112"/>
        <v>331.30690896456713</v>
      </c>
      <c r="AJ80" s="44">
        <f t="shared" si="112"/>
        <v>341.24611623350404</v>
      </c>
      <c r="AK80" s="44">
        <f t="shared" si="112"/>
        <v>351.48349972050914</v>
      </c>
      <c r="AL80" s="44">
        <f t="shared" si="112"/>
        <v>362.02800471212447</v>
      </c>
      <c r="AM80" s="44">
        <f t="shared" si="112"/>
        <v>372.88884485348819</v>
      </c>
      <c r="AN80" s="44">
        <f t="shared" si="112"/>
        <v>384.07551019909283</v>
      </c>
      <c r="AO80" s="6"/>
    </row>
    <row r="81" spans="1:46" outlineLevel="1">
      <c r="E81" s="130" t="s">
        <v>317</v>
      </c>
      <c r="F81" s="38"/>
      <c r="G81" s="38"/>
      <c r="H81" s="144"/>
      <c r="I81" s="144"/>
      <c r="J81" s="144"/>
      <c r="K81" s="144"/>
      <c r="L81" s="144"/>
      <c r="M81" s="144"/>
      <c r="N81" s="144"/>
      <c r="O81" s="144"/>
      <c r="P81" s="144"/>
      <c r="Q81" s="44">
        <f t="shared" ref="Q81" si="113">+Q156</f>
        <v>0</v>
      </c>
      <c r="R81" s="44">
        <f t="shared" ref="R81" si="114">+R156</f>
        <v>0</v>
      </c>
      <c r="S81" s="44">
        <f t="shared" ref="S81" si="115">+S156</f>
        <v>221</v>
      </c>
      <c r="T81" s="44">
        <f t="shared" ref="T81" si="116">+T156</f>
        <v>430</v>
      </c>
      <c r="U81" s="44">
        <f t="shared" ref="U81" si="117">+U156</f>
        <v>516</v>
      </c>
      <c r="V81" s="44">
        <f t="shared" ref="V81" si="118">+V156</f>
        <v>577</v>
      </c>
      <c r="W81" s="44">
        <f t="shared" ref="W81" si="119">+W156</f>
        <v>555</v>
      </c>
      <c r="X81" s="44">
        <f t="shared" ref="X81" si="120">+X156</f>
        <v>510</v>
      </c>
      <c r="Y81" s="44">
        <f t="shared" ref="Y81" si="121">+Y156</f>
        <v>566</v>
      </c>
      <c r="Z81" s="44">
        <f t="shared" ref="Z81:AN81" si="122">+Z156</f>
        <v>687</v>
      </c>
      <c r="AA81" s="44">
        <f t="shared" si="122"/>
        <v>868</v>
      </c>
      <c r="AB81" s="44">
        <f t="shared" si="122"/>
        <v>900</v>
      </c>
      <c r="AC81" s="44">
        <f t="shared" si="122"/>
        <v>998</v>
      </c>
      <c r="AD81" s="44">
        <f t="shared" si="122"/>
        <v>1000</v>
      </c>
      <c r="AE81" s="44">
        <f t="shared" si="122"/>
        <v>784.96506000000011</v>
      </c>
      <c r="AF81" s="44">
        <f t="shared" si="122"/>
        <v>808.51401180000005</v>
      </c>
      <c r="AG81" s="44">
        <f t="shared" si="122"/>
        <v>832.76943215400013</v>
      </c>
      <c r="AH81" s="44">
        <f t="shared" si="122"/>
        <v>857.75251511862018</v>
      </c>
      <c r="AI81" s="44">
        <f t="shared" si="122"/>
        <v>883.48509057217882</v>
      </c>
      <c r="AJ81" s="44">
        <f t="shared" si="122"/>
        <v>909.98964328934414</v>
      </c>
      <c r="AK81" s="44">
        <f t="shared" si="122"/>
        <v>937.28933258802442</v>
      </c>
      <c r="AL81" s="44">
        <f t="shared" si="122"/>
        <v>965.40801256566522</v>
      </c>
      <c r="AM81" s="44">
        <f t="shared" si="122"/>
        <v>994.37025294263515</v>
      </c>
      <c r="AN81" s="44">
        <f t="shared" si="122"/>
        <v>1024.2013605309141</v>
      </c>
      <c r="AO81" s="6"/>
    </row>
    <row r="82" spans="1:46" outlineLevel="1">
      <c r="E82" s="130" t="s">
        <v>318</v>
      </c>
      <c r="Q82" s="6">
        <f t="shared" ref="Q82" si="123">+Q81-Q80</f>
        <v>0</v>
      </c>
      <c r="R82" s="6">
        <f t="shared" ref="R82" si="124">+R81-R80</f>
        <v>-41</v>
      </c>
      <c r="S82" s="6">
        <f t="shared" ref="S82" si="125">+S81-S80</f>
        <v>153</v>
      </c>
      <c r="T82" s="6">
        <f t="shared" ref="T82" si="126">+T81-T80</f>
        <v>303</v>
      </c>
      <c r="U82" s="6">
        <f t="shared" ref="U82" si="127">+U81-U80</f>
        <v>334</v>
      </c>
      <c r="V82" s="6">
        <f t="shared" ref="V82" si="128">+V81-V80</f>
        <v>337</v>
      </c>
      <c r="W82" s="6">
        <f t="shared" ref="W82" si="129">+W81-W80</f>
        <v>320</v>
      </c>
      <c r="X82" s="6">
        <f t="shared" ref="X82" si="130">+X81-X80</f>
        <v>302</v>
      </c>
      <c r="Y82" s="6">
        <f t="shared" ref="Y82" si="131">+Y81-Y80</f>
        <v>342</v>
      </c>
      <c r="Z82" s="6">
        <f t="shared" ref="Z82:AC82" si="132">+Z81-Z80</f>
        <v>403</v>
      </c>
      <c r="AA82" s="6">
        <f t="shared" si="132"/>
        <v>549</v>
      </c>
      <c r="AB82" s="6">
        <f t="shared" si="132"/>
        <v>560</v>
      </c>
      <c r="AC82" s="6">
        <f t="shared" si="132"/>
        <v>557</v>
      </c>
      <c r="AD82" s="6">
        <f>+AD81/AD83</f>
        <v>625</v>
      </c>
      <c r="AE82" s="6">
        <f t="shared" ref="AE82:AN82" si="133">+AE81/AE83</f>
        <v>490.60316250000005</v>
      </c>
      <c r="AF82" s="6">
        <f t="shared" si="133"/>
        <v>505.32125737500002</v>
      </c>
      <c r="AG82" s="6">
        <f t="shared" si="133"/>
        <v>520.48089509625004</v>
      </c>
      <c r="AH82" s="6">
        <f t="shared" si="133"/>
        <v>536.09532194913754</v>
      </c>
      <c r="AI82" s="6">
        <f t="shared" si="133"/>
        <v>552.17818160761169</v>
      </c>
      <c r="AJ82" s="6">
        <f t="shared" si="133"/>
        <v>568.7435270558401</v>
      </c>
      <c r="AK82" s="6">
        <f t="shared" si="133"/>
        <v>585.80583286751528</v>
      </c>
      <c r="AL82" s="6">
        <f t="shared" si="133"/>
        <v>603.38000785354075</v>
      </c>
      <c r="AM82" s="6">
        <f t="shared" si="133"/>
        <v>621.48140808914695</v>
      </c>
      <c r="AN82" s="6">
        <f t="shared" si="133"/>
        <v>640.12585033182131</v>
      </c>
      <c r="AO82" s="6"/>
    </row>
    <row r="83" spans="1:46" outlineLevel="1">
      <c r="E83" s="162" t="s">
        <v>319</v>
      </c>
      <c r="Q83" s="209" t="e">
        <f t="shared" ref="Q83" si="134">+Q81/Q82</f>
        <v>#DIV/0!</v>
      </c>
      <c r="R83" s="209">
        <f t="shared" ref="R83" si="135">+R81/R82</f>
        <v>0</v>
      </c>
      <c r="S83" s="209">
        <f t="shared" ref="S83" si="136">+S81/S82</f>
        <v>1.4444444444444444</v>
      </c>
      <c r="T83" s="209">
        <f t="shared" ref="T83" si="137">+T81/T82</f>
        <v>1.4191419141914192</v>
      </c>
      <c r="U83" s="209">
        <f t="shared" ref="U83" si="138">+U81/U82</f>
        <v>1.5449101796407185</v>
      </c>
      <c r="V83" s="209">
        <f t="shared" ref="V83" si="139">+V81/V82</f>
        <v>1.7121661721068249</v>
      </c>
      <c r="W83" s="209">
        <f t="shared" ref="W83" si="140">+W81/W82</f>
        <v>1.734375</v>
      </c>
      <c r="X83" s="209">
        <f t="shared" ref="X83" si="141">+X81/X82</f>
        <v>1.6887417218543046</v>
      </c>
      <c r="Y83" s="209">
        <f t="shared" ref="Y83" si="142">+Y81/Y82</f>
        <v>1.6549707602339181</v>
      </c>
      <c r="Z83" s="209">
        <f t="shared" ref="Z83:AC83" si="143">+Z81/Z82</f>
        <v>1.7047146401985112</v>
      </c>
      <c r="AA83" s="209">
        <f t="shared" si="143"/>
        <v>1.5810564663023678</v>
      </c>
      <c r="AB83" s="209">
        <f t="shared" si="143"/>
        <v>1.6071428571428572</v>
      </c>
      <c r="AC83" s="209">
        <f t="shared" si="143"/>
        <v>1.7917414721723519</v>
      </c>
      <c r="AD83" s="210">
        <v>1.6</v>
      </c>
      <c r="AE83" s="210">
        <f>+AD83</f>
        <v>1.6</v>
      </c>
      <c r="AF83" s="210">
        <f t="shared" ref="AF83:AN83" si="144">+AE83</f>
        <v>1.6</v>
      </c>
      <c r="AG83" s="210">
        <f t="shared" si="144"/>
        <v>1.6</v>
      </c>
      <c r="AH83" s="210">
        <f t="shared" si="144"/>
        <v>1.6</v>
      </c>
      <c r="AI83" s="210">
        <f t="shared" si="144"/>
        <v>1.6</v>
      </c>
      <c r="AJ83" s="210">
        <f t="shared" si="144"/>
        <v>1.6</v>
      </c>
      <c r="AK83" s="210">
        <f t="shared" si="144"/>
        <v>1.6</v>
      </c>
      <c r="AL83" s="210">
        <f t="shared" si="144"/>
        <v>1.6</v>
      </c>
      <c r="AM83" s="210">
        <f t="shared" si="144"/>
        <v>1.6</v>
      </c>
      <c r="AN83" s="210">
        <f t="shared" si="144"/>
        <v>1.6</v>
      </c>
      <c r="AO83" s="6"/>
    </row>
    <row r="84" spans="1:46" outlineLevel="1">
      <c r="E84" s="162" t="s">
        <v>320</v>
      </c>
      <c r="Q84" s="211" t="e">
        <f t="shared" ref="Q84:Z84" si="145">+AVERAGE(P83:Q83)</f>
        <v>#DIV/0!</v>
      </c>
      <c r="R84" s="211" t="e">
        <f t="shared" si="145"/>
        <v>#DIV/0!</v>
      </c>
      <c r="S84" s="211">
        <f t="shared" si="145"/>
        <v>0.72222222222222221</v>
      </c>
      <c r="T84" s="211">
        <f t="shared" si="145"/>
        <v>1.4317931793179319</v>
      </c>
      <c r="U84" s="211">
        <f t="shared" si="145"/>
        <v>1.4820260469160689</v>
      </c>
      <c r="V84" s="211">
        <f t="shared" si="145"/>
        <v>1.6285381758737718</v>
      </c>
      <c r="W84" s="211">
        <f t="shared" si="145"/>
        <v>1.7232705860534123</v>
      </c>
      <c r="X84" s="211">
        <f t="shared" si="145"/>
        <v>1.7115583609271523</v>
      </c>
      <c r="Y84" s="211">
        <f t="shared" si="145"/>
        <v>1.6718562410441113</v>
      </c>
      <c r="Z84" s="211">
        <f t="shared" si="145"/>
        <v>1.6798427002162146</v>
      </c>
      <c r="AA84" s="211">
        <f t="shared" ref="AA84:AC84" si="146">+AVERAGE(Z83:AA83)</f>
        <v>1.6428855532504394</v>
      </c>
      <c r="AB84" s="211">
        <f t="shared" si="146"/>
        <v>1.5940996617226126</v>
      </c>
      <c r="AC84" s="211">
        <f t="shared" si="146"/>
        <v>1.6994421646576046</v>
      </c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6"/>
    </row>
    <row r="85" spans="1:46" outlineLevel="1">
      <c r="E85" s="162"/>
      <c r="Z85" s="211"/>
      <c r="AA85" s="211"/>
      <c r="AB85" s="211"/>
      <c r="AC85" s="211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6"/>
    </row>
    <row r="86" spans="1:46" outlineLevel="1">
      <c r="E86" s="3" t="s">
        <v>266</v>
      </c>
      <c r="F86" s="66"/>
      <c r="G86" s="66"/>
      <c r="H86" s="168"/>
      <c r="I86" s="168"/>
      <c r="J86" s="168"/>
      <c r="K86" s="168"/>
      <c r="L86" s="168"/>
      <c r="M86" s="169"/>
      <c r="N86" s="169"/>
      <c r="O86" s="169"/>
      <c r="P86" s="169"/>
      <c r="Q86" s="170">
        <f t="shared" ref="Q86:AC86" si="147">Q12</f>
        <v>417</v>
      </c>
      <c r="R86" s="170">
        <f t="shared" si="147"/>
        <v>389</v>
      </c>
      <c r="S86" s="170">
        <f t="shared" si="147"/>
        <v>423</v>
      </c>
      <c r="T86" s="170">
        <f t="shared" si="147"/>
        <v>699</v>
      </c>
      <c r="U86" s="170">
        <f t="shared" si="147"/>
        <v>852</v>
      </c>
      <c r="V86" s="170">
        <f t="shared" si="147"/>
        <v>921</v>
      </c>
      <c r="W86" s="170">
        <f t="shared" si="147"/>
        <v>976</v>
      </c>
      <c r="X86" s="170">
        <f t="shared" si="147"/>
        <v>990</v>
      </c>
      <c r="Y86" s="170">
        <f t="shared" si="147"/>
        <v>1124</v>
      </c>
      <c r="Z86" s="170">
        <f t="shared" si="147"/>
        <v>1363</v>
      </c>
      <c r="AA86" s="170">
        <f t="shared" si="147"/>
        <v>1631</v>
      </c>
      <c r="AB86" s="170">
        <f t="shared" si="147"/>
        <v>1601</v>
      </c>
      <c r="AC86" s="170">
        <f t="shared" si="147"/>
        <v>1611</v>
      </c>
      <c r="AD86" s="251">
        <f t="shared" ref="AD86:AN86" si="148">-AD$270*(AC86/SUM(AC$86:AC$87))</f>
        <v>1773.2110344827588</v>
      </c>
      <c r="AE86" s="251">
        <f t="shared" si="148"/>
        <v>2185.8801418975258</v>
      </c>
      <c r="AF86" s="251">
        <f t="shared" ca="1" si="148"/>
        <v>2281.2640160967908</v>
      </c>
      <c r="AG86" s="251">
        <f t="shared" ca="1" si="148"/>
        <v>2392.1968583994826</v>
      </c>
      <c r="AH86" s="251">
        <f t="shared" ca="1" si="148"/>
        <v>2515.6365563517675</v>
      </c>
      <c r="AI86" s="251">
        <f t="shared" ca="1" si="148"/>
        <v>2654.7103630380107</v>
      </c>
      <c r="AJ86" s="251">
        <f t="shared" ca="1" si="148"/>
        <v>2807.0223816241578</v>
      </c>
      <c r="AK86" s="251">
        <f t="shared" ca="1" si="148"/>
        <v>2976.934023978768</v>
      </c>
      <c r="AL86" s="251">
        <f t="shared" ca="1" si="148"/>
        <v>3162.4941788830292</v>
      </c>
      <c r="AM86" s="251">
        <f t="shared" ca="1" si="148"/>
        <v>3354.9494154769809</v>
      </c>
      <c r="AN86" s="251">
        <f t="shared" ca="1" si="148"/>
        <v>3553.478226295802</v>
      </c>
      <c r="AO86" s="6"/>
    </row>
    <row r="87" spans="1:46" outlineLevel="1">
      <c r="E87" s="5" t="s">
        <v>267</v>
      </c>
      <c r="F87" s="38"/>
      <c r="G87" s="38"/>
      <c r="H87" s="119"/>
      <c r="I87" s="119"/>
      <c r="J87" s="119"/>
      <c r="K87" s="119"/>
      <c r="L87" s="119"/>
      <c r="M87" s="118"/>
      <c r="N87" s="118"/>
      <c r="O87" s="118"/>
      <c r="P87" s="118"/>
      <c r="Q87" s="165">
        <f t="shared" ref="Q87" si="149">Q89-Q88</f>
        <v>49</v>
      </c>
      <c r="R87" s="165">
        <f t="shared" ref="R87" si="150">R89-R88</f>
        <v>53</v>
      </c>
      <c r="S87" s="165">
        <f t="shared" ref="S87" si="151">S89-S88</f>
        <v>49</v>
      </c>
      <c r="T87" s="165">
        <f t="shared" ref="T87" si="152">T89-T88</f>
        <v>70</v>
      </c>
      <c r="U87" s="165">
        <f t="shared" ref="U87" si="153">U89-U88</f>
        <v>68</v>
      </c>
      <c r="V87" s="165">
        <f t="shared" ref="V87" si="154">V89-V88</f>
        <v>69</v>
      </c>
      <c r="W87" s="165">
        <f t="shared" ref="W87" si="155">W89-W88</f>
        <v>75</v>
      </c>
      <c r="X87" s="165">
        <f t="shared" ref="X87" si="156">X89-X88</f>
        <v>81</v>
      </c>
      <c r="Y87" s="165">
        <f t="shared" ref="Y87:AB87" si="157">Y89-Y88</f>
        <v>86</v>
      </c>
      <c r="Z87" s="165">
        <f t="shared" si="157"/>
        <v>95</v>
      </c>
      <c r="AA87" s="165">
        <f t="shared" si="157"/>
        <v>117</v>
      </c>
      <c r="AB87" s="165">
        <f t="shared" si="157"/>
        <v>137</v>
      </c>
      <c r="AC87" s="165">
        <f t="shared" ref="AC87" si="158">AC89-AC88</f>
        <v>139</v>
      </c>
      <c r="AD87" s="251">
        <f t="shared" ref="AD87:AN87" si="159">-AD$270*(AC87/SUM(AC$86:AC$87))</f>
        <v>152.99586206896552</v>
      </c>
      <c r="AE87" s="251">
        <f t="shared" si="159"/>
        <v>188.60170063547861</v>
      </c>
      <c r="AF87" s="251">
        <f t="shared" ca="1" si="159"/>
        <v>196.83159418836368</v>
      </c>
      <c r="AG87" s="251">
        <f t="shared" ca="1" si="159"/>
        <v>206.40308089232036</v>
      </c>
      <c r="AH87" s="251">
        <f t="shared" ca="1" si="159"/>
        <v>217.05368177088496</v>
      </c>
      <c r="AI87" s="251">
        <f t="shared" ca="1" si="159"/>
        <v>229.05322188844414</v>
      </c>
      <c r="AJ87" s="251">
        <f t="shared" ca="1" si="159"/>
        <v>242.19497892349966</v>
      </c>
      <c r="AK87" s="251">
        <f t="shared" ca="1" si="159"/>
        <v>256.85526339729904</v>
      </c>
      <c r="AL87" s="251">
        <f t="shared" ca="1" si="159"/>
        <v>272.86572989741842</v>
      </c>
      <c r="AM87" s="251">
        <f t="shared" ca="1" si="159"/>
        <v>289.47111654332741</v>
      </c>
      <c r="AN87" s="251">
        <f t="shared" ca="1" si="159"/>
        <v>306.60054218194699</v>
      </c>
      <c r="AO87" s="6"/>
    </row>
    <row r="88" spans="1:46" outlineLevel="1">
      <c r="E88" s="5" t="s">
        <v>268</v>
      </c>
      <c r="F88" s="38"/>
      <c r="G88" s="38"/>
      <c r="H88" s="119"/>
      <c r="I88" s="119"/>
      <c r="J88" s="119"/>
      <c r="K88" s="119"/>
      <c r="L88" s="119"/>
      <c r="M88" s="118"/>
      <c r="N88" s="118"/>
      <c r="O88" s="118"/>
      <c r="P88" s="118"/>
      <c r="Q88" s="163">
        <v>8</v>
      </c>
      <c r="R88" s="163">
        <v>7</v>
      </c>
      <c r="S88" s="163">
        <v>8</v>
      </c>
      <c r="T88" s="163">
        <v>128</v>
      </c>
      <c r="U88" s="163">
        <v>178</v>
      </c>
      <c r="V88" s="163">
        <v>204</v>
      </c>
      <c r="W88" s="163">
        <v>193</v>
      </c>
      <c r="X88" s="163">
        <v>174</v>
      </c>
      <c r="Y88" s="163">
        <v>173</v>
      </c>
      <c r="Z88" s="163">
        <v>213</v>
      </c>
      <c r="AA88" s="163">
        <v>290</v>
      </c>
      <c r="AB88" s="163">
        <v>250</v>
      </c>
      <c r="AC88" s="163">
        <v>233</v>
      </c>
      <c r="AD88" s="251">
        <f>-AD290</f>
        <v>235.60506412364353</v>
      </c>
      <c r="AE88" s="251">
        <f t="shared" ref="AE88:AN88" si="160">-AE290</f>
        <v>230.80700984645421</v>
      </c>
      <c r="AF88" s="251">
        <f t="shared" si="160"/>
        <v>227.60147215984196</v>
      </c>
      <c r="AG88" s="251">
        <f t="shared" si="160"/>
        <v>225.5059330331118</v>
      </c>
      <c r="AH88" s="251">
        <f t="shared" si="160"/>
        <v>224.16885700001757</v>
      </c>
      <c r="AI88" s="251">
        <f t="shared" si="160"/>
        <v>223.33865705512497</v>
      </c>
      <c r="AJ88" s="251">
        <f t="shared" si="160"/>
        <v>222.83883556823412</v>
      </c>
      <c r="AK88" s="251">
        <f t="shared" si="160"/>
        <v>222.54833047127008</v>
      </c>
      <c r="AL88" s="251">
        <f t="shared" si="160"/>
        <v>222.38620410847886</v>
      </c>
      <c r="AM88" s="251">
        <f t="shared" si="160"/>
        <v>222.29991301300078</v>
      </c>
      <c r="AN88" s="251">
        <f t="shared" si="160"/>
        <v>222.25649148094786</v>
      </c>
      <c r="AO88" s="6"/>
    </row>
    <row r="89" spans="1:46" outlineLevel="1">
      <c r="E89" s="3" t="s">
        <v>269</v>
      </c>
      <c r="F89" s="38"/>
      <c r="G89" s="38"/>
      <c r="H89" s="119"/>
      <c r="I89" s="119"/>
      <c r="J89" s="119"/>
      <c r="K89" s="119"/>
      <c r="L89" s="119"/>
      <c r="M89" s="118"/>
      <c r="N89" s="118"/>
      <c r="O89" s="118"/>
      <c r="P89" s="118"/>
      <c r="Q89" s="170">
        <f t="shared" ref="Q89:AC89" si="161">Q15</f>
        <v>57</v>
      </c>
      <c r="R89" s="170">
        <f t="shared" si="161"/>
        <v>60</v>
      </c>
      <c r="S89" s="170">
        <f t="shared" si="161"/>
        <v>57</v>
      </c>
      <c r="T89" s="170">
        <f t="shared" si="161"/>
        <v>198</v>
      </c>
      <c r="U89" s="170">
        <f t="shared" si="161"/>
        <v>246</v>
      </c>
      <c r="V89" s="170">
        <f t="shared" si="161"/>
        <v>273</v>
      </c>
      <c r="W89" s="170">
        <f t="shared" si="161"/>
        <v>268</v>
      </c>
      <c r="X89" s="170">
        <f t="shared" si="161"/>
        <v>255</v>
      </c>
      <c r="Y89" s="170">
        <f t="shared" si="161"/>
        <v>259</v>
      </c>
      <c r="Z89" s="170">
        <f t="shared" si="161"/>
        <v>308</v>
      </c>
      <c r="AA89" s="170">
        <f t="shared" si="161"/>
        <v>407</v>
      </c>
      <c r="AB89" s="170">
        <f t="shared" si="161"/>
        <v>387</v>
      </c>
      <c r="AC89" s="170">
        <f t="shared" si="161"/>
        <v>372</v>
      </c>
      <c r="AD89" s="170">
        <f>SUM(AD87:AD88)</f>
        <v>388.60092619260905</v>
      </c>
      <c r="AE89" s="170">
        <f t="shared" ref="AE89:AN89" si="162">SUM(AE87:AE88)</f>
        <v>419.40871048193281</v>
      </c>
      <c r="AF89" s="170">
        <f t="shared" ca="1" si="162"/>
        <v>424.43306634820567</v>
      </c>
      <c r="AG89" s="170">
        <f t="shared" ca="1" si="162"/>
        <v>431.90901392543219</v>
      </c>
      <c r="AH89" s="170">
        <f t="shared" ca="1" si="162"/>
        <v>441.22253877090253</v>
      </c>
      <c r="AI89" s="170">
        <f t="shared" ca="1" si="162"/>
        <v>452.39187894356911</v>
      </c>
      <c r="AJ89" s="170">
        <f t="shared" ca="1" si="162"/>
        <v>465.03381449173378</v>
      </c>
      <c r="AK89" s="170">
        <f t="shared" ca="1" si="162"/>
        <v>479.40359386856915</v>
      </c>
      <c r="AL89" s="170">
        <f t="shared" ca="1" si="162"/>
        <v>495.25193400589728</v>
      </c>
      <c r="AM89" s="170">
        <f t="shared" ca="1" si="162"/>
        <v>511.77102955632819</v>
      </c>
      <c r="AN89" s="170">
        <f t="shared" ca="1" si="162"/>
        <v>528.85703366289488</v>
      </c>
      <c r="AO89" s="6"/>
    </row>
    <row r="90" spans="1:46" outlineLevel="1">
      <c r="A90" s="263" t="s">
        <v>4</v>
      </c>
      <c r="E90" s="171" t="s">
        <v>265</v>
      </c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3">
        <f t="shared" ref="Q90:AN90" si="163">+Q86+Q89</f>
        <v>474</v>
      </c>
      <c r="R90" s="173">
        <f t="shared" si="163"/>
        <v>449</v>
      </c>
      <c r="S90" s="173">
        <f t="shared" si="163"/>
        <v>480</v>
      </c>
      <c r="T90" s="173">
        <f t="shared" si="163"/>
        <v>897</v>
      </c>
      <c r="U90" s="173">
        <f t="shared" si="163"/>
        <v>1098</v>
      </c>
      <c r="V90" s="173">
        <f t="shared" si="163"/>
        <v>1194</v>
      </c>
      <c r="W90" s="173">
        <f t="shared" si="163"/>
        <v>1244</v>
      </c>
      <c r="X90" s="173">
        <f t="shared" si="163"/>
        <v>1245</v>
      </c>
      <c r="Y90" s="173">
        <f t="shared" si="163"/>
        <v>1383</v>
      </c>
      <c r="Z90" s="173">
        <f t="shared" si="163"/>
        <v>1671</v>
      </c>
      <c r="AA90" s="173">
        <f t="shared" si="163"/>
        <v>2038</v>
      </c>
      <c r="AB90" s="173">
        <f t="shared" si="163"/>
        <v>1988</v>
      </c>
      <c r="AC90" s="173">
        <f t="shared" si="163"/>
        <v>1983</v>
      </c>
      <c r="AD90" s="173">
        <f t="shared" si="163"/>
        <v>2161.811960675368</v>
      </c>
      <c r="AE90" s="173">
        <f t="shared" si="163"/>
        <v>2605.2888523794586</v>
      </c>
      <c r="AF90" s="173">
        <f t="shared" ca="1" si="163"/>
        <v>2705.6970824449963</v>
      </c>
      <c r="AG90" s="173">
        <f t="shared" ca="1" si="163"/>
        <v>2824.1058723249148</v>
      </c>
      <c r="AH90" s="173">
        <f t="shared" ca="1" si="163"/>
        <v>2956.8590951226702</v>
      </c>
      <c r="AI90" s="173">
        <f t="shared" ca="1" si="163"/>
        <v>3107.1022419815799</v>
      </c>
      <c r="AJ90" s="173">
        <f t="shared" ca="1" si="163"/>
        <v>3272.0561961158915</v>
      </c>
      <c r="AK90" s="173">
        <f t="shared" ca="1" si="163"/>
        <v>3456.3376178473372</v>
      </c>
      <c r="AL90" s="173">
        <f t="shared" ca="1" si="163"/>
        <v>3657.7461128889263</v>
      </c>
      <c r="AM90" s="173">
        <f t="shared" ca="1" si="163"/>
        <v>3866.7204450333093</v>
      </c>
      <c r="AN90" s="173">
        <f t="shared" ca="1" si="163"/>
        <v>4082.335259958697</v>
      </c>
      <c r="AO90" s="6"/>
    </row>
    <row r="91" spans="1:46" outlineLevel="1">
      <c r="E91" s="38" t="s">
        <v>270</v>
      </c>
      <c r="F91" s="38"/>
      <c r="G91" s="38"/>
      <c r="H91" s="119"/>
      <c r="I91" s="119"/>
      <c r="J91" s="119"/>
      <c r="K91" s="119"/>
      <c r="L91" s="119"/>
      <c r="M91" s="118"/>
      <c r="N91" s="118"/>
      <c r="O91" s="118"/>
      <c r="P91" s="118"/>
      <c r="Q91" s="166">
        <f t="shared" ref="Q91" si="164">+Q86/Q$104</f>
        <v>0.17684478371501272</v>
      </c>
      <c r="R91" s="166">
        <f t="shared" ref="R91" si="165">+R86/R$104</f>
        <v>0.17389360751005811</v>
      </c>
      <c r="S91" s="166">
        <f t="shared" ref="S91" si="166">+S86/S$104</f>
        <v>0.16200689391037917</v>
      </c>
      <c r="T91" s="166">
        <f t="shared" ref="T91" si="167">+T86/T$104</f>
        <v>0.16978382317221277</v>
      </c>
      <c r="U91" s="166">
        <f t="shared" ref="U91" si="168">+U86/U$104</f>
        <v>0.17194752774974773</v>
      </c>
      <c r="V91" s="166">
        <f t="shared" ref="V91" si="169">+V86/V$104</f>
        <v>0.16200527704485487</v>
      </c>
      <c r="W91" s="166">
        <f t="shared" ref="W91" si="170">+W86/W$104</f>
        <v>0.16778408114148186</v>
      </c>
      <c r="X91" s="166">
        <f t="shared" ref="X91" si="171">+X86/X$104</f>
        <v>0.17181534189517528</v>
      </c>
      <c r="Y91" s="166">
        <f t="shared" ref="Y91:AC94" si="172">+Y86/Y$104</f>
        <v>0.16925161873211866</v>
      </c>
      <c r="Z91" s="166">
        <f t="shared" si="172"/>
        <v>0.16937989312787374</v>
      </c>
      <c r="AA91" s="166">
        <f t="shared" si="172"/>
        <v>0.17441984814458347</v>
      </c>
      <c r="AB91" s="166">
        <f t="shared" si="172"/>
        <v>0.18769050410316529</v>
      </c>
      <c r="AC91" s="166">
        <f t="shared" si="172"/>
        <v>0.16580897488678467</v>
      </c>
      <c r="AD91" s="166">
        <f t="shared" ref="AD91:AN91" si="173">+AD86/AD$104</f>
        <v>0.15609244689666871</v>
      </c>
      <c r="AE91" s="166">
        <f t="shared" ca="1" si="173"/>
        <v>0.17589382204459822</v>
      </c>
      <c r="AF91" s="166">
        <f t="shared" ca="1" si="173"/>
        <v>0.17334199020238752</v>
      </c>
      <c r="AG91" s="166">
        <f t="shared" ca="1" si="173"/>
        <v>0.17225573287232962</v>
      </c>
      <c r="AH91" s="166">
        <f t="shared" ca="1" si="173"/>
        <v>0.1707965270941067</v>
      </c>
      <c r="AI91" s="166">
        <f t="shared" ca="1" si="173"/>
        <v>0.17041170790869256</v>
      </c>
      <c r="AJ91" s="166">
        <f t="shared" ca="1" si="173"/>
        <v>0.16939251682673379</v>
      </c>
      <c r="AK91" s="166">
        <f t="shared" ca="1" si="173"/>
        <v>0.16925139966933669</v>
      </c>
      <c r="AL91" s="166">
        <f t="shared" ca="1" si="173"/>
        <v>0.171140321039955</v>
      </c>
      <c r="AM91" s="166">
        <f t="shared" ca="1" si="173"/>
        <v>0.17312552084089883</v>
      </c>
      <c r="AN91" s="166">
        <f t="shared" ca="1" si="173"/>
        <v>0.17514710693853272</v>
      </c>
      <c r="AO91" s="6"/>
    </row>
    <row r="92" spans="1:46" outlineLevel="1">
      <c r="E92" s="38" t="s">
        <v>271</v>
      </c>
      <c r="F92" s="38"/>
      <c r="G92" s="38"/>
      <c r="H92" s="119"/>
      <c r="I92" s="119"/>
      <c r="J92" s="119"/>
      <c r="K92" s="119"/>
      <c r="L92" s="119"/>
      <c r="M92" s="118"/>
      <c r="N92" s="118"/>
      <c r="O92" s="118"/>
      <c r="P92" s="118"/>
      <c r="Q92" s="166">
        <f t="shared" ref="Q92" si="174">+Q87/SUM(Q$89)</f>
        <v>0.85964912280701755</v>
      </c>
      <c r="R92" s="166">
        <f t="shared" ref="R92" si="175">+R87/SUM(R$89)</f>
        <v>0.8833333333333333</v>
      </c>
      <c r="S92" s="166">
        <f t="shared" ref="S92" si="176">+S87/SUM(S$89)</f>
        <v>0.85964912280701755</v>
      </c>
      <c r="T92" s="166">
        <f t="shared" ref="T92" si="177">+T87/SUM(T$89)</f>
        <v>0.35353535353535354</v>
      </c>
      <c r="U92" s="166">
        <f t="shared" ref="U92" si="178">+U87/SUM(U$89)</f>
        <v>0.27642276422764228</v>
      </c>
      <c r="V92" s="166">
        <f t="shared" ref="V92" si="179">+V87/SUM(V$89)</f>
        <v>0.25274725274725274</v>
      </c>
      <c r="W92" s="166">
        <f t="shared" ref="W92" si="180">+W87/SUM(W$89)</f>
        <v>0.27985074626865669</v>
      </c>
      <c r="X92" s="166">
        <f t="shared" ref="X92" si="181">+X87/SUM(X$89)</f>
        <v>0.31764705882352939</v>
      </c>
      <c r="Y92" s="166">
        <f t="shared" ref="Y92:AB92" si="182">+Y87/SUM(Y$89)</f>
        <v>0.33204633204633205</v>
      </c>
      <c r="Z92" s="166">
        <f t="shared" si="182"/>
        <v>0.30844155844155846</v>
      </c>
      <c r="AA92" s="166">
        <f t="shared" si="182"/>
        <v>0.28746928746928746</v>
      </c>
      <c r="AB92" s="166">
        <f t="shared" si="182"/>
        <v>0.35400516795865633</v>
      </c>
      <c r="AC92" s="166">
        <f>+AC87/SUM(AC$89)</f>
        <v>0.37365591397849462</v>
      </c>
      <c r="AD92" s="167">
        <f>+AC92</f>
        <v>0.37365591397849462</v>
      </c>
      <c r="AE92" s="167">
        <f t="shared" ref="AE92:AN92" si="183">+AD92</f>
        <v>0.37365591397849462</v>
      </c>
      <c r="AF92" s="167">
        <f t="shared" si="183"/>
        <v>0.37365591397849462</v>
      </c>
      <c r="AG92" s="167">
        <f t="shared" si="183"/>
        <v>0.37365591397849462</v>
      </c>
      <c r="AH92" s="167">
        <f t="shared" si="183"/>
        <v>0.37365591397849462</v>
      </c>
      <c r="AI92" s="167">
        <f t="shared" si="183"/>
        <v>0.37365591397849462</v>
      </c>
      <c r="AJ92" s="167">
        <f t="shared" si="183"/>
        <v>0.37365591397849462</v>
      </c>
      <c r="AK92" s="167">
        <f t="shared" si="183"/>
        <v>0.37365591397849462</v>
      </c>
      <c r="AL92" s="167">
        <f t="shared" si="183"/>
        <v>0.37365591397849462</v>
      </c>
      <c r="AM92" s="167">
        <f t="shared" si="183"/>
        <v>0.37365591397849462</v>
      </c>
      <c r="AN92" s="167">
        <f t="shared" si="183"/>
        <v>0.37365591397849462</v>
      </c>
      <c r="AO92" s="6"/>
    </row>
    <row r="93" spans="1:46" outlineLevel="1">
      <c r="E93" s="38" t="s">
        <v>272</v>
      </c>
      <c r="F93" s="38"/>
      <c r="G93" s="38"/>
      <c r="H93" s="119"/>
      <c r="I93" s="119"/>
      <c r="J93" s="119"/>
      <c r="K93" s="119"/>
      <c r="L93" s="119"/>
      <c r="M93" s="118"/>
      <c r="N93" s="118"/>
      <c r="O93" s="118"/>
      <c r="P93" s="118"/>
      <c r="Q93" s="166">
        <f t="shared" ref="Q93" si="184">+Q88/SUM(Q$89)</f>
        <v>0.14035087719298245</v>
      </c>
      <c r="R93" s="166">
        <f t="shared" ref="R93" si="185">+R88/SUM(R$89)</f>
        <v>0.11666666666666667</v>
      </c>
      <c r="S93" s="166">
        <f t="shared" ref="S93" si="186">+S88/SUM(S$89)</f>
        <v>0.14035087719298245</v>
      </c>
      <c r="T93" s="166">
        <f t="shared" ref="T93" si="187">+T88/SUM(T$89)</f>
        <v>0.64646464646464652</v>
      </c>
      <c r="U93" s="166">
        <f t="shared" ref="U93" si="188">+U88/SUM(U$89)</f>
        <v>0.72357723577235777</v>
      </c>
      <c r="V93" s="166">
        <f t="shared" ref="V93" si="189">+V88/SUM(V$89)</f>
        <v>0.74725274725274726</v>
      </c>
      <c r="W93" s="166">
        <f t="shared" ref="W93" si="190">+W88/SUM(W$89)</f>
        <v>0.72014925373134331</v>
      </c>
      <c r="X93" s="166">
        <f t="shared" ref="X93" si="191">+X88/SUM(X$89)</f>
        <v>0.68235294117647061</v>
      </c>
      <c r="Y93" s="166">
        <f t="shared" ref="Y93:AB93" si="192">+Y88/SUM(Y$89)</f>
        <v>0.66795366795366795</v>
      </c>
      <c r="Z93" s="166">
        <f t="shared" si="192"/>
        <v>0.69155844155844159</v>
      </c>
      <c r="AA93" s="166">
        <f t="shared" si="192"/>
        <v>0.71253071253071254</v>
      </c>
      <c r="AB93" s="166">
        <f t="shared" si="192"/>
        <v>0.64599483204134367</v>
      </c>
      <c r="AC93" s="166">
        <f>+AC88/SUM(AC$89)</f>
        <v>0.62634408602150538</v>
      </c>
      <c r="AD93" s="167">
        <f>+AC93</f>
        <v>0.62634408602150538</v>
      </c>
      <c r="AE93" s="167">
        <f t="shared" ref="AE93:AN93" si="193">+AD93</f>
        <v>0.62634408602150538</v>
      </c>
      <c r="AF93" s="167">
        <f t="shared" si="193"/>
        <v>0.62634408602150538</v>
      </c>
      <c r="AG93" s="167">
        <f t="shared" si="193"/>
        <v>0.62634408602150538</v>
      </c>
      <c r="AH93" s="167">
        <f t="shared" si="193"/>
        <v>0.62634408602150538</v>
      </c>
      <c r="AI93" s="167">
        <f t="shared" si="193"/>
        <v>0.62634408602150538</v>
      </c>
      <c r="AJ93" s="167">
        <f t="shared" si="193"/>
        <v>0.62634408602150538</v>
      </c>
      <c r="AK93" s="167">
        <f t="shared" si="193"/>
        <v>0.62634408602150538</v>
      </c>
      <c r="AL93" s="167">
        <f t="shared" si="193"/>
        <v>0.62634408602150538</v>
      </c>
      <c r="AM93" s="167">
        <f t="shared" si="193"/>
        <v>0.62634408602150538</v>
      </c>
      <c r="AN93" s="167">
        <f t="shared" si="193"/>
        <v>0.62634408602150538</v>
      </c>
      <c r="AO93" s="6"/>
    </row>
    <row r="94" spans="1:46" outlineLevel="1">
      <c r="E94" s="38" t="s">
        <v>273</v>
      </c>
      <c r="F94" s="38"/>
      <c r="G94" s="38"/>
      <c r="H94" s="119"/>
      <c r="I94" s="119"/>
      <c r="J94" s="119"/>
      <c r="K94" s="119"/>
      <c r="L94" s="119"/>
      <c r="M94" s="118"/>
      <c r="N94" s="118"/>
      <c r="O94" s="118"/>
      <c r="P94" s="118"/>
      <c r="Q94" s="166">
        <f t="shared" ref="Q94" si="194">+Q89/Q$104</f>
        <v>2.4173027989821884E-2</v>
      </c>
      <c r="R94" s="166">
        <f t="shared" ref="R94" si="195">+R89/R$104</f>
        <v>2.6821636119803309E-2</v>
      </c>
      <c r="S94" s="166">
        <f t="shared" ref="S94" si="196">+S89/S$104</f>
        <v>2.1830716200689392E-2</v>
      </c>
      <c r="T94" s="166">
        <f t="shared" ref="T94" si="197">+T89/T$104</f>
        <v>4.8093271799854266E-2</v>
      </c>
      <c r="U94" s="166">
        <f t="shared" ref="U94" si="198">+U89/U$104</f>
        <v>4.9646821392532792E-2</v>
      </c>
      <c r="V94" s="166">
        <f t="shared" ref="V94" si="199">+V89/V$104</f>
        <v>4.8021108179419528E-2</v>
      </c>
      <c r="W94" s="166">
        <f t="shared" ref="W94" si="200">+W89/W$104</f>
        <v>4.6071858346226575E-2</v>
      </c>
      <c r="X94" s="166">
        <f t="shared" ref="X94" si="201">+X89/X$104</f>
        <v>4.4255466851787571E-2</v>
      </c>
      <c r="Y94" s="166">
        <f t="shared" si="172"/>
        <v>3.9000150579731968E-2</v>
      </c>
      <c r="Z94" s="166">
        <f t="shared" si="172"/>
        <v>3.8275133590157821E-2</v>
      </c>
      <c r="AA94" s="166">
        <f t="shared" si="172"/>
        <v>4.3524756710512244E-2</v>
      </c>
      <c r="AB94" s="166">
        <f t="shared" si="172"/>
        <v>4.5369284876905044E-2</v>
      </c>
      <c r="AC94" s="166">
        <f t="shared" si="172"/>
        <v>3.8287361053931657E-2</v>
      </c>
      <c r="AD94" s="167">
        <v>4.1000000000000002E-2</v>
      </c>
      <c r="AE94" s="167">
        <v>4.1000000000000002E-2</v>
      </c>
      <c r="AF94" s="167">
        <v>4.1000000000000002E-2</v>
      </c>
      <c r="AG94" s="167">
        <v>4.1000000000000002E-2</v>
      </c>
      <c r="AH94" s="167">
        <v>4.1000000000000002E-2</v>
      </c>
      <c r="AI94" s="167">
        <v>4.1000000000000002E-2</v>
      </c>
      <c r="AJ94" s="167">
        <v>4.1000000000000002E-2</v>
      </c>
      <c r="AK94" s="167">
        <v>4.1000000000000002E-2</v>
      </c>
      <c r="AL94" s="167">
        <v>4.1000000000000002E-2</v>
      </c>
      <c r="AM94" s="167">
        <v>4.1000000000000002E-2</v>
      </c>
      <c r="AN94" s="167">
        <v>4.1000000000000002E-2</v>
      </c>
      <c r="AO94" s="6"/>
    </row>
    <row r="95" spans="1:46" outlineLevel="1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287"/>
      <c r="X95" s="287"/>
      <c r="Y95" s="287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6"/>
    </row>
    <row r="96" spans="1:46" outlineLevel="1">
      <c r="E96" s="38" t="s">
        <v>274</v>
      </c>
      <c r="F96" s="38"/>
      <c r="G96" s="38"/>
      <c r="H96" s="119"/>
      <c r="I96" s="119"/>
      <c r="J96" s="119"/>
      <c r="K96" s="119"/>
      <c r="L96" s="119"/>
      <c r="M96" s="118"/>
      <c r="N96" s="118"/>
      <c r="O96" s="118"/>
      <c r="P96" s="118"/>
      <c r="Q96" s="147"/>
      <c r="R96" s="147"/>
      <c r="S96" s="147">
        <f t="shared" ref="S96:Y96" si="202">-S155/S$104</f>
        <v>0.31022596706242817</v>
      </c>
      <c r="T96" s="147">
        <f t="shared" si="202"/>
        <v>0.33252368229293172</v>
      </c>
      <c r="U96" s="147">
        <f t="shared" si="202"/>
        <v>0.3398587285570131</v>
      </c>
      <c r="V96" s="147">
        <f t="shared" si="202"/>
        <v>0.32031662269129285</v>
      </c>
      <c r="W96" s="147">
        <f t="shared" si="202"/>
        <v>0.28124462781502491</v>
      </c>
      <c r="X96" s="147">
        <f t="shared" si="202"/>
        <v>0.23238458868448456</v>
      </c>
      <c r="Y96" s="147">
        <f t="shared" si="202"/>
        <v>0.28444511368769765</v>
      </c>
      <c r="Z96" s="147">
        <f t="shared" ref="Z96:AC96" si="203">-Z155/Z$104</f>
        <v>0.28470237355536226</v>
      </c>
      <c r="AA96" s="147">
        <f t="shared" si="203"/>
        <v>0.25131002031868249</v>
      </c>
      <c r="AB96" s="147">
        <f t="shared" si="203"/>
        <v>0.13575615474794842</v>
      </c>
      <c r="AC96" s="147">
        <f t="shared" si="203"/>
        <v>0.32914779744750927</v>
      </c>
      <c r="AD96" s="167">
        <v>0.29499999999999998</v>
      </c>
      <c r="AE96" s="167">
        <v>0.29499999999999998</v>
      </c>
      <c r="AF96" s="167">
        <v>0.29499999999999998</v>
      </c>
      <c r="AG96" s="167">
        <v>0.29499999999999998</v>
      </c>
      <c r="AH96" s="167">
        <v>0.29499999999999998</v>
      </c>
      <c r="AI96" s="167">
        <v>0.29499999999999998</v>
      </c>
      <c r="AJ96" s="167">
        <v>0.29499999999999998</v>
      </c>
      <c r="AK96" s="167">
        <v>0.29499999999999998</v>
      </c>
      <c r="AL96" s="167">
        <v>0.29499999999999998</v>
      </c>
      <c r="AM96" s="167">
        <v>0.29499999999999998</v>
      </c>
      <c r="AN96" s="167">
        <v>0.29499999999999998</v>
      </c>
      <c r="AO96" s="6"/>
      <c r="AS96" s="15">
        <f>+AVERAGE(AD96:AM96)</f>
        <v>0.29499999999999998</v>
      </c>
      <c r="AT96" s="15">
        <f>+AVERAGE(T96:AC96)</f>
        <v>0.27916897097979476</v>
      </c>
    </row>
    <row r="97" spans="1:50" outlineLevel="1">
      <c r="E97" s="38" t="s">
        <v>275</v>
      </c>
      <c r="F97" s="38"/>
      <c r="G97" s="38"/>
      <c r="H97" s="119"/>
      <c r="I97" s="119"/>
      <c r="J97" s="119"/>
      <c r="K97" s="119"/>
      <c r="L97" s="119"/>
      <c r="M97" s="118"/>
      <c r="N97" s="118"/>
      <c r="O97" s="118"/>
      <c r="P97" s="118"/>
      <c r="Q97" s="147"/>
      <c r="R97" s="147"/>
      <c r="S97" s="147">
        <f t="shared" ref="S97:AN97" si="204">+S156/S$104</f>
        <v>8.4641899655304484E-2</v>
      </c>
      <c r="T97" s="147">
        <f t="shared" si="204"/>
        <v>0.10444498421180472</v>
      </c>
      <c r="U97" s="147">
        <f t="shared" si="204"/>
        <v>0.1041372351160444</v>
      </c>
      <c r="V97" s="147">
        <f t="shared" si="204"/>
        <v>0.10149516270888302</v>
      </c>
      <c r="W97" s="147">
        <f t="shared" si="204"/>
        <v>9.541000515729757E-2</v>
      </c>
      <c r="X97" s="147">
        <f t="shared" si="204"/>
        <v>8.8510933703575143E-2</v>
      </c>
      <c r="Y97" s="147">
        <f t="shared" si="204"/>
        <v>8.5228128293931643E-2</v>
      </c>
      <c r="Z97" s="147">
        <f t="shared" si="204"/>
        <v>8.5373431092332544E-2</v>
      </c>
      <c r="AA97" s="147">
        <f t="shared" si="204"/>
        <v>9.2824296866645284E-2</v>
      </c>
      <c r="AB97" s="147">
        <f t="shared" si="204"/>
        <v>0.10550996483001172</v>
      </c>
      <c r="AC97" s="147">
        <f t="shared" si="204"/>
        <v>0.10271716755866611</v>
      </c>
      <c r="AD97" s="147">
        <f t="shared" ref="AD97:AM97" si="205">+AD156/AD$104</f>
        <v>8.8028127426017566E-2</v>
      </c>
      <c r="AE97" s="147">
        <f t="shared" ca="1" si="205"/>
        <v>6.3164718837241784E-2</v>
      </c>
      <c r="AF97" s="147">
        <f t="shared" ca="1" si="205"/>
        <v>6.1434988200849396E-2</v>
      </c>
      <c r="AG97" s="147">
        <f t="shared" ca="1" si="205"/>
        <v>5.9965511761994758E-2</v>
      </c>
      <c r="AH97" s="147">
        <f t="shared" ca="1" si="205"/>
        <v>5.823621473403727E-2</v>
      </c>
      <c r="AI97" s="147">
        <f t="shared" ca="1" si="205"/>
        <v>5.6712854740197223E-2</v>
      </c>
      <c r="AJ97" s="147">
        <f t="shared" ca="1" si="205"/>
        <v>5.4914216919729142E-2</v>
      </c>
      <c r="AK97" s="147">
        <f t="shared" ca="1" si="205"/>
        <v>5.3288897287564814E-2</v>
      </c>
      <c r="AL97" s="147">
        <f t="shared" ca="1" si="205"/>
        <v>5.2243649429700285E-2</v>
      </c>
      <c r="AM97" s="147">
        <f t="shared" ca="1" si="205"/>
        <v>5.1312507769931584E-2</v>
      </c>
      <c r="AN97" s="147">
        <f t="shared" ca="1" si="204"/>
        <v>5.0481779764975018E-2</v>
      </c>
      <c r="AO97" s="6"/>
      <c r="AS97" s="15">
        <f ca="1">+AVERAGE(AD97:AM97)</f>
        <v>5.9930168710726386E-2</v>
      </c>
      <c r="AT97" s="15">
        <f>+AVERAGE(T97:AC97)</f>
        <v>9.656513095391922E-2</v>
      </c>
    </row>
    <row r="98" spans="1:50" outlineLevel="1">
      <c r="E98" s="38" t="s">
        <v>276</v>
      </c>
      <c r="F98" s="38"/>
      <c r="G98" s="38"/>
      <c r="H98" s="119"/>
      <c r="I98" s="119"/>
      <c r="J98" s="119"/>
      <c r="K98" s="119"/>
      <c r="L98" s="119"/>
      <c r="M98" s="118"/>
      <c r="N98" s="118"/>
      <c r="O98" s="118"/>
      <c r="P98" s="118"/>
      <c r="Q98" s="147"/>
      <c r="R98" s="147"/>
      <c r="S98" s="147">
        <f t="shared" ref="S98:Y98" si="206">S96-S97</f>
        <v>0.22558406740712367</v>
      </c>
      <c r="T98" s="147">
        <f t="shared" si="206"/>
        <v>0.22807869808112702</v>
      </c>
      <c r="U98" s="147">
        <f t="shared" si="206"/>
        <v>0.23572149344096871</v>
      </c>
      <c r="V98" s="147">
        <f t="shared" si="206"/>
        <v>0.21882145998240982</v>
      </c>
      <c r="W98" s="147">
        <f t="shared" si="206"/>
        <v>0.18583462265772732</v>
      </c>
      <c r="X98" s="147">
        <f t="shared" si="206"/>
        <v>0.14387365498090943</v>
      </c>
      <c r="Y98" s="147">
        <f t="shared" si="206"/>
        <v>0.19921698539376601</v>
      </c>
      <c r="Z98" s="147">
        <f t="shared" ref="Z98:AC98" si="207">Z96-Z97</f>
        <v>0.19932894246302973</v>
      </c>
      <c r="AA98" s="147">
        <f t="shared" si="207"/>
        <v>0.15848572345203721</v>
      </c>
      <c r="AB98" s="147">
        <f t="shared" si="207"/>
        <v>3.0246189917936692E-2</v>
      </c>
      <c r="AC98" s="147">
        <f t="shared" si="207"/>
        <v>0.22643062988884316</v>
      </c>
      <c r="AD98" s="147">
        <f t="shared" ref="AD98" si="208">AD96-AD97</f>
        <v>0.20697187257398242</v>
      </c>
      <c r="AE98" s="147">
        <f t="shared" ref="AE98" ca="1" si="209">AE96-AE97</f>
        <v>0.2318352811627582</v>
      </c>
      <c r="AF98" s="147">
        <f t="shared" ref="AF98" ca="1" si="210">AF96-AF97</f>
        <v>0.2335650117991506</v>
      </c>
      <c r="AG98" s="147">
        <f t="shared" ref="AG98" ca="1" si="211">AG96-AG97</f>
        <v>0.23503448823800521</v>
      </c>
      <c r="AH98" s="147">
        <f t="shared" ref="AH98" ca="1" si="212">AH96-AH97</f>
        <v>0.2367637852659627</v>
      </c>
      <c r="AI98" s="147">
        <f t="shared" ref="AI98" ca="1" si="213">AI96-AI97</f>
        <v>0.23828714525980277</v>
      </c>
      <c r="AJ98" s="147">
        <f t="shared" ref="AJ98" ca="1" si="214">AJ96-AJ97</f>
        <v>0.24008578308027084</v>
      </c>
      <c r="AK98" s="147">
        <f t="shared" ref="AK98" ca="1" si="215">AK96-AK97</f>
        <v>0.24171110271243518</v>
      </c>
      <c r="AL98" s="147">
        <f t="shared" ref="AL98" ca="1" si="216">AL96-AL97</f>
        <v>0.24275635057029971</v>
      </c>
      <c r="AM98" s="147">
        <f t="shared" ref="AM98" ca="1" si="217">AM96-AM97</f>
        <v>0.24368749223006841</v>
      </c>
      <c r="AN98" s="147">
        <f t="shared" ref="AN98" ca="1" si="218">AN96-AN97</f>
        <v>0.24451822023502495</v>
      </c>
      <c r="AO98" s="6"/>
      <c r="AS98" s="15">
        <f ca="1">+AVERAGE(AD98:AM98)</f>
        <v>0.23506983128927356</v>
      </c>
      <c r="AT98" s="15">
        <f>+AVERAGE(T98:AC98)</f>
        <v>0.18260384002587551</v>
      </c>
    </row>
    <row r="99" spans="1:50" outlineLevel="1">
      <c r="E99" s="174" t="s">
        <v>277</v>
      </c>
      <c r="F99" s="174"/>
      <c r="G99" s="174"/>
      <c r="H99" s="175"/>
      <c r="I99" s="175"/>
      <c r="J99" s="175"/>
      <c r="K99" s="175"/>
      <c r="L99" s="175"/>
      <c r="M99" s="176"/>
      <c r="N99" s="176"/>
      <c r="O99" s="176"/>
      <c r="P99" s="176"/>
      <c r="Q99" s="176"/>
      <c r="R99" s="176"/>
      <c r="S99" s="176">
        <f t="shared" ref="S99:Y99" si="219">+S96/S91</f>
        <v>1.9148936170212763</v>
      </c>
      <c r="T99" s="176">
        <f t="shared" si="219"/>
        <v>1.9585121602288984</v>
      </c>
      <c r="U99" s="176">
        <f t="shared" si="219"/>
        <v>1.976525821596244</v>
      </c>
      <c r="V99" s="176">
        <f t="shared" si="219"/>
        <v>1.9771986970684039</v>
      </c>
      <c r="W99" s="176">
        <f t="shared" si="219"/>
        <v>1.6762295081967213</v>
      </c>
      <c r="X99" s="176">
        <f t="shared" si="219"/>
        <v>1.3525252525252527</v>
      </c>
      <c r="Y99" s="176">
        <f t="shared" si="219"/>
        <v>1.6806049822064058</v>
      </c>
      <c r="Z99" s="176">
        <f t="shared" ref="Z99:AC99" si="220">+Z98/Z91</f>
        <v>1.1768158473954513</v>
      </c>
      <c r="AA99" s="176">
        <f t="shared" si="220"/>
        <v>0.90864500306560381</v>
      </c>
      <c r="AB99" s="176">
        <f t="shared" si="220"/>
        <v>0.16114928169893816</v>
      </c>
      <c r="AC99" s="176">
        <f t="shared" si="220"/>
        <v>1.3656114214773434</v>
      </c>
      <c r="AD99" s="187">
        <f t="shared" ref="AD99" si="221">+AD98/AD91</f>
        <v>1.325956999770753</v>
      </c>
      <c r="AE99" s="187">
        <f t="shared" ref="AE99:AN99" ca="1" si="222">+AE98/AE91</f>
        <v>1.3180410685713335</v>
      </c>
      <c r="AF99" s="187">
        <f t="shared" ca="1" si="222"/>
        <v>1.3474231576921953</v>
      </c>
      <c r="AG99" s="187">
        <f t="shared" ca="1" si="222"/>
        <v>1.3644508912350986</v>
      </c>
      <c r="AH99" s="187">
        <f t="shared" ca="1" si="222"/>
        <v>1.3862330182832634</v>
      </c>
      <c r="AI99" s="187">
        <f t="shared" ca="1" si="222"/>
        <v>1.3983026646706587</v>
      </c>
      <c r="AJ99" s="187">
        <f t="shared" ca="1" si="222"/>
        <v>1.4173340568866271</v>
      </c>
      <c r="AK99" s="187">
        <f t="shared" ca="1" si="222"/>
        <v>1.4281187817924204</v>
      </c>
      <c r="AL99" s="187">
        <f t="shared" ca="1" si="222"/>
        <v>1.4184638026571481</v>
      </c>
      <c r="AM99" s="187">
        <f t="shared" ca="1" si="222"/>
        <v>1.407576947907152</v>
      </c>
      <c r="AN99" s="187">
        <f t="shared" ca="1" si="222"/>
        <v>1.3960734179916416</v>
      </c>
      <c r="AO99" s="6"/>
      <c r="AS99" s="187">
        <f ca="1">+AVERAGE(AD99:AM99)</f>
        <v>1.3811901389466652</v>
      </c>
      <c r="AT99" s="187">
        <f>+AVERAGE(T99:AC99)</f>
        <v>1.4233817975459262</v>
      </c>
    </row>
    <row r="100" spans="1:50" outlineLevel="1">
      <c r="E100" s="174" t="s">
        <v>323</v>
      </c>
      <c r="F100" s="174"/>
      <c r="G100" s="174"/>
      <c r="H100" s="175"/>
      <c r="I100" s="175"/>
      <c r="J100" s="175"/>
      <c r="K100" s="175"/>
      <c r="L100" s="175"/>
      <c r="M100" s="176"/>
      <c r="N100" s="176"/>
      <c r="O100" s="176"/>
      <c r="P100" s="176"/>
      <c r="Q100" s="176"/>
      <c r="R100" s="176"/>
      <c r="S100" s="176">
        <f t="shared" ref="S100" si="223">+S104/S179</f>
        <v>0.87529332886356015</v>
      </c>
      <c r="T100" s="176">
        <f t="shared" ref="T100" si="224">+T104/T179</f>
        <v>0.76325546903967367</v>
      </c>
      <c r="U100" s="176">
        <f t="shared" ref="U100" si="225">+U104/U179</f>
        <v>0.85504745470232957</v>
      </c>
      <c r="V100" s="176">
        <f t="shared" ref="V100" si="226">+V104/V179</f>
        <v>0.88194228979211919</v>
      </c>
      <c r="W100" s="176">
        <f t="shared" ref="W100" si="227">+W104/W179</f>
        <v>0.87724325139496306</v>
      </c>
      <c r="X100" s="176">
        <f t="shared" ref="X100" si="228">+X104/X179</f>
        <v>0.8705242483758876</v>
      </c>
      <c r="Y100" s="176">
        <f t="shared" ref="Y100:AM100" si="229">+Y104/Y179</f>
        <v>0.80098902424315521</v>
      </c>
      <c r="Z100" s="176">
        <f t="shared" si="229"/>
        <v>0.78784021930683379</v>
      </c>
      <c r="AA100" s="176">
        <f t="shared" si="229"/>
        <v>0.89991338658454434</v>
      </c>
      <c r="AB100" s="176">
        <f t="shared" si="229"/>
        <v>0.9163175421634977</v>
      </c>
      <c r="AC100" s="176">
        <f t="shared" si="229"/>
        <v>0.86967418546365916</v>
      </c>
      <c r="AD100" s="176">
        <f t="shared" si="229"/>
        <v>0.82486274685421468</v>
      </c>
      <c r="AE100" s="176">
        <f t="shared" ca="1" si="229"/>
        <v>0.86462881871528219</v>
      </c>
      <c r="AF100" s="176">
        <f t="shared" ca="1" si="229"/>
        <v>0.87318115468585256</v>
      </c>
      <c r="AG100" s="176">
        <f t="shared" ca="1" si="229"/>
        <v>0.87620319427566196</v>
      </c>
      <c r="AH100" s="176">
        <f t="shared" ca="1" si="229"/>
        <v>0.8806051367392963</v>
      </c>
      <c r="AI100" s="176">
        <f t="shared" ca="1" si="229"/>
        <v>0.88084874270739877</v>
      </c>
      <c r="AJ100" s="176">
        <f t="shared" ca="1" si="229"/>
        <v>0.88351096361770076</v>
      </c>
      <c r="AK100" s="176">
        <f t="shared" ca="1" si="229"/>
        <v>0.88274792268111524</v>
      </c>
      <c r="AL100" s="176">
        <f t="shared" ca="1" si="229"/>
        <v>0.87422035492601324</v>
      </c>
      <c r="AM100" s="176">
        <f t="shared" ca="1" si="229"/>
        <v>0.86556706477275491</v>
      </c>
      <c r="AN100" s="176">
        <f ca="1">+AN104/AN179</f>
        <v>0.85701930136374149</v>
      </c>
      <c r="AO100" s="6"/>
      <c r="AS100" s="176">
        <f ca="1">+AVERAGE(AD100:AM100)</f>
        <v>0.87063760999752904</v>
      </c>
      <c r="AT100" s="176">
        <f>+AVERAGE(T100:AC100)</f>
        <v>0.85227470710666642</v>
      </c>
    </row>
    <row r="101" spans="1:50">
      <c r="C101" s="94" t="s">
        <v>130</v>
      </c>
      <c r="D101" s="249" t="s">
        <v>130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S101" s="3"/>
      <c r="AT101" s="3"/>
    </row>
    <row r="102" spans="1:50">
      <c r="D102" s="258"/>
      <c r="E102" s="259" t="s">
        <v>64</v>
      </c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</row>
    <row r="103" spans="1:50" ht="5.0999999999999996" customHeight="1">
      <c r="C103" s="95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6"/>
      <c r="AP103" s="1"/>
    </row>
    <row r="104" spans="1:50" outlineLevel="1">
      <c r="A104" s="263" t="s">
        <v>131</v>
      </c>
      <c r="B104" s="263"/>
      <c r="E104" s="42" t="s">
        <v>159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>
        <f t="shared" ref="Q104:X104" si="230">Q10</f>
        <v>2358</v>
      </c>
      <c r="R104" s="52">
        <f t="shared" si="230"/>
        <v>2237</v>
      </c>
      <c r="S104" s="52">
        <f t="shared" si="230"/>
        <v>2611</v>
      </c>
      <c r="T104" s="52">
        <f t="shared" si="230"/>
        <v>4117</v>
      </c>
      <c r="U104" s="52">
        <f t="shared" si="230"/>
        <v>4955</v>
      </c>
      <c r="V104" s="52">
        <f t="shared" si="230"/>
        <v>5685</v>
      </c>
      <c r="W104" s="52">
        <f t="shared" si="230"/>
        <v>5817</v>
      </c>
      <c r="X104" s="52">
        <f t="shared" si="230"/>
        <v>5762</v>
      </c>
      <c r="Y104" s="52">
        <f t="shared" ref="Y104:AN104" si="231">Y10</f>
        <v>6641</v>
      </c>
      <c r="Z104" s="52">
        <f t="shared" si="231"/>
        <v>8047</v>
      </c>
      <c r="AA104" s="52">
        <f t="shared" si="231"/>
        <v>9351</v>
      </c>
      <c r="AB104" s="52">
        <f t="shared" si="231"/>
        <v>8530</v>
      </c>
      <c r="AC104" s="52">
        <f t="shared" si="231"/>
        <v>9716</v>
      </c>
      <c r="AD104" s="52">
        <f t="shared" si="231"/>
        <v>11360.00536692594</v>
      </c>
      <c r="AE104" s="52">
        <f t="shared" ca="1" si="231"/>
        <v>12427.270705069401</v>
      </c>
      <c r="AF104" s="52">
        <f t="shared" ca="1" si="231"/>
        <v>13160.48127423294</v>
      </c>
      <c r="AG104" s="52">
        <f t="shared" ca="1" si="231"/>
        <v>13887.473110532126</v>
      </c>
      <c r="AH104" s="52">
        <f t="shared" ca="1" si="231"/>
        <v>14728.85075096219</v>
      </c>
      <c r="AI104" s="52">
        <f t="shared" ca="1" si="231"/>
        <v>15578.215814023868</v>
      </c>
      <c r="AJ104" s="52">
        <f t="shared" ca="1" si="231"/>
        <v>16571.112078672115</v>
      </c>
      <c r="AK104" s="52">
        <f t="shared" ca="1" si="231"/>
        <v>17588.829574199968</v>
      </c>
      <c r="AL104" s="52">
        <f t="shared" ca="1" si="231"/>
        <v>18478.954343814177</v>
      </c>
      <c r="AM104" s="52">
        <f t="shared" ca="1" si="231"/>
        <v>19378.710886652909</v>
      </c>
      <c r="AN104" s="52">
        <f t="shared" ca="1" si="231"/>
        <v>20288.535097201937</v>
      </c>
      <c r="AO104" s="6"/>
      <c r="AP104" s="160">
        <f ca="1">+(AM104/AC104)^(0.1)-1</f>
        <v>7.1479182680065145E-2</v>
      </c>
      <c r="AQ104" s="160">
        <f t="shared" ref="AQ104" si="232">+(AC104/S104)^(1/10)-1</f>
        <v>0.14042850361178516</v>
      </c>
      <c r="AR104" s="50"/>
    </row>
    <row r="105" spans="1:50" outlineLevel="1">
      <c r="E105" s="45" t="s">
        <v>132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>
        <f t="shared" ref="Q105:X105" si="233">-Q11</f>
        <v>-1331</v>
      </c>
      <c r="R105" s="52">
        <f t="shared" si="233"/>
        <v>-1190</v>
      </c>
      <c r="S105" s="52">
        <f t="shared" si="233"/>
        <v>-1290</v>
      </c>
      <c r="T105" s="52">
        <f t="shared" si="233"/>
        <v>-1831</v>
      </c>
      <c r="U105" s="52">
        <f t="shared" si="233"/>
        <v>-2116</v>
      </c>
      <c r="V105" s="52">
        <f t="shared" si="233"/>
        <v>-2332</v>
      </c>
      <c r="W105" s="52">
        <f t="shared" si="233"/>
        <v>-2361</v>
      </c>
      <c r="X105" s="52">
        <f t="shared" si="233"/>
        <v>-2369</v>
      </c>
      <c r="Y105" s="52">
        <f t="shared" ref="Y105:AN105" si="234">-Y11</f>
        <v>-2748</v>
      </c>
      <c r="Z105" s="52">
        <f t="shared" si="234"/>
        <v>-3320</v>
      </c>
      <c r="AA105" s="52">
        <f t="shared" si="234"/>
        <v>-4050</v>
      </c>
      <c r="AB105" s="52">
        <f t="shared" si="234"/>
        <v>-3746</v>
      </c>
      <c r="AC105" s="52">
        <f t="shared" si="234"/>
        <v>-4252</v>
      </c>
      <c r="AD105" s="52">
        <f t="shared" si="234"/>
        <v>-4762.787172330045</v>
      </c>
      <c r="AE105" s="52">
        <f t="shared" ca="1" si="234"/>
        <v>-4850.0987072751213</v>
      </c>
      <c r="AF105" s="52">
        <f t="shared" ca="1" si="234"/>
        <v>-5097.0790515129811</v>
      </c>
      <c r="AG105" s="52">
        <f t="shared" ca="1" si="234"/>
        <v>-5316.6206179060555</v>
      </c>
      <c r="AH105" s="52">
        <f t="shared" ca="1" si="234"/>
        <v>-5578.651527316887</v>
      </c>
      <c r="AI105" s="52">
        <f t="shared" ca="1" si="234"/>
        <v>-5819.7797843493472</v>
      </c>
      <c r="AJ105" s="52">
        <f t="shared" ca="1" si="234"/>
        <v>-6115.6598914806254</v>
      </c>
      <c r="AK105" s="52">
        <f t="shared" ca="1" si="234"/>
        <v>-6395.8420338942678</v>
      </c>
      <c r="AL105" s="52">
        <f t="shared" ca="1" si="234"/>
        <v>-6581.2341326360947</v>
      </c>
      <c r="AM105" s="52">
        <f t="shared" ca="1" si="234"/>
        <v>-6754.7379507844898</v>
      </c>
      <c r="AN105" s="52">
        <f t="shared" ca="1" si="234"/>
        <v>-7035.5957529109528</v>
      </c>
      <c r="AO105" s="6"/>
      <c r="AP105" s="50"/>
      <c r="AQ105" s="50"/>
    </row>
    <row r="106" spans="1:50" s="3" customFormat="1" outlineLevel="1">
      <c r="A106" s="263" t="s">
        <v>112</v>
      </c>
      <c r="B106" s="263"/>
      <c r="C106" s="96"/>
      <c r="E106" s="2" t="s">
        <v>112</v>
      </c>
      <c r="F106" s="2"/>
      <c r="G106" s="2"/>
      <c r="H106" s="7"/>
      <c r="I106" s="7"/>
      <c r="J106" s="7"/>
      <c r="K106" s="7"/>
      <c r="L106" s="7"/>
      <c r="M106" s="7"/>
      <c r="N106" s="7"/>
      <c r="O106" s="7"/>
      <c r="P106" s="7"/>
      <c r="Q106" s="7">
        <f t="shared" ref="Q106:X106" si="235">SUM(Q104:Q105)</f>
        <v>1027</v>
      </c>
      <c r="R106" s="7">
        <f t="shared" si="235"/>
        <v>1047</v>
      </c>
      <c r="S106" s="7">
        <f t="shared" si="235"/>
        <v>1321</v>
      </c>
      <c r="T106" s="7">
        <f t="shared" si="235"/>
        <v>2286</v>
      </c>
      <c r="U106" s="7">
        <f t="shared" si="235"/>
        <v>2839</v>
      </c>
      <c r="V106" s="7">
        <f t="shared" si="235"/>
        <v>3353</v>
      </c>
      <c r="W106" s="7">
        <f t="shared" si="235"/>
        <v>3456</v>
      </c>
      <c r="X106" s="7">
        <f t="shared" si="235"/>
        <v>3393</v>
      </c>
      <c r="Y106" s="7">
        <f>SUM(Y104:Y105)</f>
        <v>3893</v>
      </c>
      <c r="Z106" s="7">
        <f>SUM(Z104:Z105)</f>
        <v>4727</v>
      </c>
      <c r="AA106" s="7">
        <f>SUM(AA104:AA105)</f>
        <v>5301</v>
      </c>
      <c r="AB106" s="7">
        <f>SUM(AB104:AB105)</f>
        <v>4784</v>
      </c>
      <c r="AC106" s="7">
        <f t="shared" ref="AC106:AN106" si="236">SUM(AC104:AC105)</f>
        <v>5464</v>
      </c>
      <c r="AD106" s="7">
        <f t="shared" si="236"/>
        <v>6597.2181945958946</v>
      </c>
      <c r="AE106" s="7">
        <f t="shared" ca="1" si="236"/>
        <v>7577.1719977942794</v>
      </c>
      <c r="AF106" s="7">
        <f t="shared" ca="1" si="236"/>
        <v>8063.4022227199584</v>
      </c>
      <c r="AG106" s="7">
        <f t="shared" ca="1" si="236"/>
        <v>8570.8524926260707</v>
      </c>
      <c r="AH106" s="7">
        <f t="shared" ca="1" si="236"/>
        <v>9150.1992236453043</v>
      </c>
      <c r="AI106" s="7">
        <f t="shared" ca="1" si="236"/>
        <v>9758.4360296745217</v>
      </c>
      <c r="AJ106" s="7">
        <f t="shared" ca="1" si="236"/>
        <v>10455.452187191489</v>
      </c>
      <c r="AK106" s="7">
        <f t="shared" ca="1" si="236"/>
        <v>11192.987540305701</v>
      </c>
      <c r="AL106" s="7">
        <f t="shared" ca="1" si="236"/>
        <v>11897.720211178083</v>
      </c>
      <c r="AM106" s="7">
        <f t="shared" ca="1" si="236"/>
        <v>12623.97293586842</v>
      </c>
      <c r="AN106" s="7">
        <f t="shared" ca="1" si="236"/>
        <v>13252.939344290984</v>
      </c>
      <c r="AO106" s="39"/>
      <c r="AP106" s="160">
        <f ca="1">+(AM106/AC106)^(0.1)-1</f>
        <v>8.7347940956924885E-2</v>
      </c>
      <c r="AQ106" s="160">
        <f t="shared" ref="AQ106" si="237">+(AC106/S106)^(1/10)-1</f>
        <v>0.15255268634048536</v>
      </c>
    </row>
    <row r="107" spans="1:50" outlineLevel="1">
      <c r="E107" s="45" t="s">
        <v>133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63">
        <v>0</v>
      </c>
      <c r="R107" s="163">
        <v>0</v>
      </c>
      <c r="S107" s="163">
        <v>0</v>
      </c>
      <c r="T107" s="163">
        <v>0</v>
      </c>
      <c r="U107" s="163">
        <v>0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0</v>
      </c>
      <c r="AB107" s="163">
        <v>0</v>
      </c>
      <c r="AC107" s="163">
        <v>0</v>
      </c>
      <c r="AD107" s="276">
        <f>AC107</f>
        <v>0</v>
      </c>
      <c r="AE107" s="276">
        <f t="shared" ref="AE107:AN107" si="238">AD107</f>
        <v>0</v>
      </c>
      <c r="AF107" s="276">
        <f t="shared" si="238"/>
        <v>0</v>
      </c>
      <c r="AG107" s="276">
        <f t="shared" si="238"/>
        <v>0</v>
      </c>
      <c r="AH107" s="276">
        <f t="shared" si="238"/>
        <v>0</v>
      </c>
      <c r="AI107" s="276">
        <f t="shared" si="238"/>
        <v>0</v>
      </c>
      <c r="AJ107" s="276">
        <f t="shared" si="238"/>
        <v>0</v>
      </c>
      <c r="AK107" s="276">
        <f t="shared" si="238"/>
        <v>0</v>
      </c>
      <c r="AL107" s="276">
        <f t="shared" si="238"/>
        <v>0</v>
      </c>
      <c r="AM107" s="276">
        <f t="shared" si="238"/>
        <v>0</v>
      </c>
      <c r="AN107" s="276">
        <f t="shared" si="238"/>
        <v>0</v>
      </c>
      <c r="AO107" s="6"/>
    </row>
    <row r="108" spans="1:50" outlineLevel="1">
      <c r="E108" s="45" t="s">
        <v>65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>
        <f t="shared" ref="Q108:X108" si="239">-Q14</f>
        <v>-408</v>
      </c>
      <c r="R108" s="52">
        <f t="shared" si="239"/>
        <v>-367</v>
      </c>
      <c r="S108" s="52">
        <f t="shared" si="239"/>
        <v>-407</v>
      </c>
      <c r="T108" s="52">
        <f t="shared" si="239"/>
        <v>-588</v>
      </c>
      <c r="U108" s="52">
        <f t="shared" si="239"/>
        <v>-642</v>
      </c>
      <c r="V108" s="52">
        <f t="shared" si="239"/>
        <v>-758</v>
      </c>
      <c r="W108" s="52">
        <f t="shared" si="239"/>
        <v>-714</v>
      </c>
      <c r="X108" s="52">
        <f t="shared" si="239"/>
        <v>-719</v>
      </c>
      <c r="Y108" s="52">
        <f t="shared" ref="Y108:AN108" si="240">-Y14</f>
        <v>-903</v>
      </c>
      <c r="Z108" s="52">
        <f t="shared" si="240"/>
        <v>-1038</v>
      </c>
      <c r="AA108" s="52">
        <f t="shared" si="240"/>
        <v>-1092</v>
      </c>
      <c r="AB108" s="52">
        <f t="shared" si="240"/>
        <v>-979</v>
      </c>
      <c r="AC108" s="52">
        <f t="shared" si="240"/>
        <v>-1199</v>
      </c>
      <c r="AD108" s="52">
        <f t="shared" si="240"/>
        <v>-1390.5179727047291</v>
      </c>
      <c r="AE108" s="52">
        <f t="shared" ca="1" si="240"/>
        <v>-1514.9426237260734</v>
      </c>
      <c r="AF108" s="52">
        <f t="shared" ca="1" si="240"/>
        <v>-1597.744192639399</v>
      </c>
      <c r="AG108" s="52">
        <f t="shared" ca="1" si="240"/>
        <v>-1679.0606769939475</v>
      </c>
      <c r="AH108" s="52">
        <f t="shared" ca="1" si="240"/>
        <v>-1773.4227571752388</v>
      </c>
      <c r="AI108" s="52">
        <f t="shared" ca="1" si="240"/>
        <v>-1867.9011891769167</v>
      </c>
      <c r="AJ108" s="52">
        <f t="shared" ca="1" si="240"/>
        <v>-1978.6685552184388</v>
      </c>
      <c r="AK108" s="52">
        <f t="shared" ca="1" si="240"/>
        <v>-2091.3943858401185</v>
      </c>
      <c r="AL108" s="52">
        <f t="shared" ca="1" si="240"/>
        <v>-2187.9949213885038</v>
      </c>
      <c r="AM108" s="52">
        <f t="shared" ca="1" si="240"/>
        <v>-2284.840963435146</v>
      </c>
      <c r="AN108" s="52">
        <f t="shared" ca="1" si="240"/>
        <v>-2381.9692403786162</v>
      </c>
      <c r="AO108" s="6"/>
    </row>
    <row r="109" spans="1:50" outlineLevel="1">
      <c r="E109" s="45" t="s">
        <v>86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>
        <f t="shared" ref="Q109:X109" si="241">-Q16</f>
        <v>0</v>
      </c>
      <c r="R109" s="52">
        <f t="shared" si="241"/>
        <v>-34</v>
      </c>
      <c r="S109" s="52">
        <f t="shared" si="241"/>
        <v>-38</v>
      </c>
      <c r="T109" s="52">
        <f t="shared" si="241"/>
        <v>-210</v>
      </c>
      <c r="U109" s="52">
        <f t="shared" si="241"/>
        <v>-21</v>
      </c>
      <c r="V109" s="52">
        <f t="shared" si="241"/>
        <v>-10</v>
      </c>
      <c r="W109" s="52">
        <f t="shared" si="241"/>
        <v>20</v>
      </c>
      <c r="X109" s="52">
        <f t="shared" si="241"/>
        <v>-14</v>
      </c>
      <c r="Y109" s="52">
        <f t="shared" ref="Y109:AN109" si="242">-Y16</f>
        <v>-100</v>
      </c>
      <c r="Z109" s="52">
        <f t="shared" si="242"/>
        <v>-67</v>
      </c>
      <c r="AA109" s="52">
        <f t="shared" si="242"/>
        <v>-19</v>
      </c>
      <c r="AB109" s="52">
        <f t="shared" si="242"/>
        <v>-17</v>
      </c>
      <c r="AC109" s="52">
        <f t="shared" si="242"/>
        <v>-5</v>
      </c>
      <c r="AD109" s="52">
        <f t="shared" si="242"/>
        <v>0</v>
      </c>
      <c r="AE109" s="52">
        <f t="shared" ca="1" si="242"/>
        <v>0</v>
      </c>
      <c r="AF109" s="52">
        <f t="shared" ca="1" si="242"/>
        <v>0</v>
      </c>
      <c r="AG109" s="52">
        <f t="shared" ca="1" si="242"/>
        <v>0</v>
      </c>
      <c r="AH109" s="52">
        <f t="shared" ca="1" si="242"/>
        <v>0</v>
      </c>
      <c r="AI109" s="52">
        <f t="shared" ca="1" si="242"/>
        <v>0</v>
      </c>
      <c r="AJ109" s="52">
        <f t="shared" ca="1" si="242"/>
        <v>0</v>
      </c>
      <c r="AK109" s="52">
        <f t="shared" ca="1" si="242"/>
        <v>0</v>
      </c>
      <c r="AL109" s="52">
        <f t="shared" ca="1" si="242"/>
        <v>0</v>
      </c>
      <c r="AM109" s="52">
        <f t="shared" ca="1" si="242"/>
        <v>0</v>
      </c>
      <c r="AN109" s="52">
        <f t="shared" ca="1" si="242"/>
        <v>0</v>
      </c>
      <c r="AO109" s="6"/>
    </row>
    <row r="110" spans="1:50" s="3" customFormat="1" outlineLevel="1">
      <c r="A110" s="263" t="s">
        <v>62</v>
      </c>
      <c r="B110" s="263"/>
      <c r="C110" s="96"/>
      <c r="E110" s="2" t="s">
        <v>62</v>
      </c>
      <c r="F110" s="2"/>
      <c r="G110" s="2"/>
      <c r="H110" s="7"/>
      <c r="I110" s="7"/>
      <c r="J110" s="7"/>
      <c r="K110" s="7"/>
      <c r="L110" s="7"/>
      <c r="M110" s="7"/>
      <c r="N110" s="7"/>
      <c r="O110" s="7"/>
      <c r="P110" s="7"/>
      <c r="Q110" s="7">
        <f t="shared" ref="Q110:X110" si="243">SUM(Q106:Q109)</f>
        <v>619</v>
      </c>
      <c r="R110" s="7">
        <f t="shared" si="243"/>
        <v>646</v>
      </c>
      <c r="S110" s="7">
        <f t="shared" si="243"/>
        <v>876</v>
      </c>
      <c r="T110" s="7">
        <f t="shared" si="243"/>
        <v>1488</v>
      </c>
      <c r="U110" s="7">
        <f t="shared" si="243"/>
        <v>2176</v>
      </c>
      <c r="V110" s="7">
        <f t="shared" si="243"/>
        <v>2585</v>
      </c>
      <c r="W110" s="7">
        <f t="shared" si="243"/>
        <v>2762</v>
      </c>
      <c r="X110" s="7">
        <f t="shared" si="243"/>
        <v>2660</v>
      </c>
      <c r="Y110" s="7">
        <f>SUM(Y106:Y109)</f>
        <v>2890</v>
      </c>
      <c r="Z110" s="7">
        <f>SUM(Z106:Z109)</f>
        <v>3622</v>
      </c>
      <c r="AA110" s="7">
        <f>SUM(AA106:AA109)</f>
        <v>4190</v>
      </c>
      <c r="AB110" s="7">
        <f>SUM(AB106:AB109)</f>
        <v>3788</v>
      </c>
      <c r="AC110" s="7">
        <f t="shared" ref="AC110:AN110" si="244">SUM(AC106:AC109)</f>
        <v>4260</v>
      </c>
      <c r="AD110" s="7">
        <f t="shared" si="244"/>
        <v>5206.7002218911657</v>
      </c>
      <c r="AE110" s="7">
        <f t="shared" ca="1" si="244"/>
        <v>6062.2293740682062</v>
      </c>
      <c r="AF110" s="7">
        <f t="shared" ca="1" si="244"/>
        <v>6465.6580300805599</v>
      </c>
      <c r="AG110" s="7">
        <f t="shared" ca="1" si="244"/>
        <v>6891.791815632123</v>
      </c>
      <c r="AH110" s="7">
        <f t="shared" ca="1" si="244"/>
        <v>7376.7764664700653</v>
      </c>
      <c r="AI110" s="7">
        <f t="shared" ca="1" si="244"/>
        <v>7890.5348404976048</v>
      </c>
      <c r="AJ110" s="7">
        <f t="shared" ca="1" si="244"/>
        <v>8476.7836319730504</v>
      </c>
      <c r="AK110" s="7">
        <f t="shared" ca="1" si="244"/>
        <v>9101.5931544655832</v>
      </c>
      <c r="AL110" s="7">
        <f t="shared" ca="1" si="244"/>
        <v>9709.7252897895778</v>
      </c>
      <c r="AM110" s="7">
        <f t="shared" ca="1" si="244"/>
        <v>10339.131972433273</v>
      </c>
      <c r="AN110" s="7">
        <f t="shared" ca="1" si="244"/>
        <v>10870.970103912368</v>
      </c>
      <c r="AO110" s="39"/>
      <c r="AP110" s="160">
        <f ca="1">+(AM110/AC110)^(0.1)-1</f>
        <v>9.2716366672999539E-2</v>
      </c>
      <c r="AQ110" s="160">
        <f t="shared" ref="AQ110" si="245">+(AC110/S110)^(1/10)-1</f>
        <v>0.17136043096275899</v>
      </c>
    </row>
    <row r="111" spans="1:50" outlineLevel="1">
      <c r="A111" s="263"/>
      <c r="B111" s="263"/>
      <c r="E111" s="45" t="s">
        <v>4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>
        <f t="shared" ref="Q111:X111" si="246">-Q15-Q12</f>
        <v>-474</v>
      </c>
      <c r="R111" s="52">
        <f t="shared" si="246"/>
        <v>-449</v>
      </c>
      <c r="S111" s="52">
        <f t="shared" si="246"/>
        <v>-480</v>
      </c>
      <c r="T111" s="52">
        <f t="shared" si="246"/>
        <v>-897</v>
      </c>
      <c r="U111" s="52">
        <f t="shared" si="246"/>
        <v>-1098</v>
      </c>
      <c r="V111" s="52">
        <f t="shared" si="246"/>
        <v>-1194</v>
      </c>
      <c r="W111" s="52">
        <f t="shared" si="246"/>
        <v>-1244</v>
      </c>
      <c r="X111" s="52">
        <f t="shared" si="246"/>
        <v>-1245</v>
      </c>
      <c r="Y111" s="52">
        <f t="shared" ref="Y111:AN111" si="247">-Y15-Y12</f>
        <v>-1383</v>
      </c>
      <c r="Z111" s="52">
        <f t="shared" si="247"/>
        <v>-1671</v>
      </c>
      <c r="AA111" s="52">
        <f t="shared" si="247"/>
        <v>-2038</v>
      </c>
      <c r="AB111" s="52">
        <f t="shared" si="247"/>
        <v>-1988</v>
      </c>
      <c r="AC111" s="52">
        <f t="shared" si="247"/>
        <v>-1983</v>
      </c>
      <c r="AD111" s="52">
        <f t="shared" si="247"/>
        <v>-2161.811960675368</v>
      </c>
      <c r="AE111" s="52">
        <f t="shared" si="247"/>
        <v>-2605.2888523794586</v>
      </c>
      <c r="AF111" s="52">
        <f t="shared" ca="1" si="247"/>
        <v>-2705.6970824449963</v>
      </c>
      <c r="AG111" s="52">
        <f t="shared" ca="1" si="247"/>
        <v>-2824.1058723249148</v>
      </c>
      <c r="AH111" s="52">
        <f t="shared" ca="1" si="247"/>
        <v>-2956.8590951226702</v>
      </c>
      <c r="AI111" s="52">
        <f t="shared" ca="1" si="247"/>
        <v>-3107.1022419815799</v>
      </c>
      <c r="AJ111" s="52">
        <f t="shared" ca="1" si="247"/>
        <v>-3272.0561961158915</v>
      </c>
      <c r="AK111" s="52">
        <f t="shared" ca="1" si="247"/>
        <v>-3456.3376178473372</v>
      </c>
      <c r="AL111" s="52">
        <f t="shared" ca="1" si="247"/>
        <v>-3657.7461128889263</v>
      </c>
      <c r="AM111" s="52">
        <f t="shared" ca="1" si="247"/>
        <v>-3866.7204450333093</v>
      </c>
      <c r="AN111" s="52">
        <f t="shared" ca="1" si="247"/>
        <v>-4082.335259958697</v>
      </c>
      <c r="AO111" s="6"/>
    </row>
    <row r="112" spans="1:50" outlineLevel="1">
      <c r="E112" s="45" t="s">
        <v>66</v>
      </c>
      <c r="H112" s="139"/>
      <c r="I112" s="139"/>
      <c r="J112" s="139"/>
      <c r="K112" s="139"/>
      <c r="L112" s="139"/>
      <c r="M112" s="139"/>
      <c r="N112" s="139"/>
      <c r="O112" s="139"/>
      <c r="P112" s="139"/>
      <c r="Q112" s="163">
        <v>0</v>
      </c>
      <c r="R112" s="163">
        <v>0</v>
      </c>
      <c r="S112" s="163">
        <v>0</v>
      </c>
      <c r="T112" s="163">
        <v>0</v>
      </c>
      <c r="U112" s="163">
        <v>0</v>
      </c>
      <c r="V112" s="163">
        <v>0</v>
      </c>
      <c r="W112" s="163">
        <v>0</v>
      </c>
      <c r="X112" s="163">
        <v>0</v>
      </c>
      <c r="Y112" s="163">
        <v>0</v>
      </c>
      <c r="Z112" s="163">
        <v>0</v>
      </c>
      <c r="AA112" s="163">
        <v>0</v>
      </c>
      <c r="AB112" s="163">
        <v>0</v>
      </c>
      <c r="AC112" s="163">
        <v>0</v>
      </c>
      <c r="AD112" s="276">
        <v>0</v>
      </c>
      <c r="AE112" s="276">
        <v>0</v>
      </c>
      <c r="AF112" s="276">
        <v>0</v>
      </c>
      <c r="AG112" s="276">
        <v>0</v>
      </c>
      <c r="AH112" s="276">
        <v>0</v>
      </c>
      <c r="AI112" s="276">
        <v>0</v>
      </c>
      <c r="AJ112" s="276">
        <v>0</v>
      </c>
      <c r="AK112" s="276">
        <v>0</v>
      </c>
      <c r="AL112" s="276">
        <v>0</v>
      </c>
      <c r="AM112" s="276">
        <v>0</v>
      </c>
      <c r="AN112" s="276">
        <v>0</v>
      </c>
      <c r="AO112" s="6"/>
      <c r="AT112" s="3"/>
      <c r="AU112" s="3"/>
      <c r="AV112" s="3"/>
      <c r="AW112" s="3"/>
      <c r="AX112" s="3"/>
    </row>
    <row r="113" spans="1:44" outlineLevel="1">
      <c r="E113" s="45" t="s">
        <v>158</v>
      </c>
      <c r="H113" s="139"/>
      <c r="I113" s="139"/>
      <c r="J113" s="139"/>
      <c r="K113" s="139"/>
      <c r="L113" s="139"/>
      <c r="M113" s="139"/>
      <c r="N113" s="139"/>
      <c r="O113" s="139"/>
      <c r="P113" s="139"/>
      <c r="Q113" s="163">
        <v>0</v>
      </c>
      <c r="R113" s="163">
        <v>0</v>
      </c>
      <c r="S113" s="163">
        <v>0</v>
      </c>
      <c r="T113" s="163">
        <v>0</v>
      </c>
      <c r="U113" s="163">
        <v>0</v>
      </c>
      <c r="V113" s="163">
        <v>0</v>
      </c>
      <c r="W113" s="163">
        <v>0</v>
      </c>
      <c r="X113" s="163">
        <v>0</v>
      </c>
      <c r="Y113" s="163">
        <v>0</v>
      </c>
      <c r="Z113" s="163">
        <v>0</v>
      </c>
      <c r="AA113" s="163">
        <v>0</v>
      </c>
      <c r="AB113" s="163">
        <v>0</v>
      </c>
      <c r="AC113" s="163">
        <v>0</v>
      </c>
      <c r="AD113" s="276">
        <v>0</v>
      </c>
      <c r="AE113" s="276">
        <v>0</v>
      </c>
      <c r="AF113" s="276">
        <v>0</v>
      </c>
      <c r="AG113" s="276">
        <v>0</v>
      </c>
      <c r="AH113" s="276">
        <v>0</v>
      </c>
      <c r="AI113" s="276">
        <v>0</v>
      </c>
      <c r="AJ113" s="276">
        <v>0</v>
      </c>
      <c r="AK113" s="276">
        <v>0</v>
      </c>
      <c r="AL113" s="276">
        <v>0</v>
      </c>
      <c r="AM113" s="276">
        <v>0</v>
      </c>
      <c r="AN113" s="276">
        <v>0</v>
      </c>
      <c r="AO113" s="6"/>
    </row>
    <row r="114" spans="1:44" outlineLevel="1">
      <c r="E114" s="45" t="s">
        <v>195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63">
        <f t="shared" ref="Q114:X114" si="248">-Q18</f>
        <v>0</v>
      </c>
      <c r="R114" s="163">
        <f t="shared" si="248"/>
        <v>0</v>
      </c>
      <c r="S114" s="163">
        <f t="shared" si="248"/>
        <v>0</v>
      </c>
      <c r="T114" s="163">
        <f t="shared" si="248"/>
        <v>0</v>
      </c>
      <c r="U114" s="163">
        <f t="shared" si="248"/>
        <v>0</v>
      </c>
      <c r="V114" s="163">
        <f t="shared" si="248"/>
        <v>0</v>
      </c>
      <c r="W114" s="163">
        <f t="shared" si="248"/>
        <v>0</v>
      </c>
      <c r="X114" s="163">
        <f t="shared" si="248"/>
        <v>0</v>
      </c>
      <c r="Y114" s="163">
        <f t="shared" ref="Y114:AN114" si="249">-Y18</f>
        <v>0</v>
      </c>
      <c r="Z114" s="163">
        <f t="shared" si="249"/>
        <v>0</v>
      </c>
      <c r="AA114" s="163">
        <f t="shared" si="249"/>
        <v>0</v>
      </c>
      <c r="AB114" s="163">
        <f t="shared" si="249"/>
        <v>0</v>
      </c>
      <c r="AC114" s="163">
        <f t="shared" si="249"/>
        <v>0</v>
      </c>
      <c r="AD114" s="52">
        <f t="shared" si="249"/>
        <v>0</v>
      </c>
      <c r="AE114" s="52">
        <f t="shared" si="249"/>
        <v>0</v>
      </c>
      <c r="AF114" s="52">
        <f t="shared" si="249"/>
        <v>0</v>
      </c>
      <c r="AG114" s="52">
        <f t="shared" si="249"/>
        <v>0</v>
      </c>
      <c r="AH114" s="52">
        <f t="shared" si="249"/>
        <v>0</v>
      </c>
      <c r="AI114" s="52">
        <f t="shared" si="249"/>
        <v>0</v>
      </c>
      <c r="AJ114" s="52">
        <f t="shared" si="249"/>
        <v>0</v>
      </c>
      <c r="AK114" s="52">
        <f t="shared" si="249"/>
        <v>0</v>
      </c>
      <c r="AL114" s="52">
        <f t="shared" si="249"/>
        <v>0</v>
      </c>
      <c r="AM114" s="52">
        <f t="shared" si="249"/>
        <v>0</v>
      </c>
      <c r="AN114" s="52">
        <f t="shared" si="249"/>
        <v>0</v>
      </c>
      <c r="AO114" s="6"/>
    </row>
    <row r="115" spans="1:44" outlineLevel="1">
      <c r="E115" s="45" t="s">
        <v>86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63">
        <v>0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163">
        <v>0</v>
      </c>
      <c r="Y115" s="163">
        <v>0</v>
      </c>
      <c r="Z115" s="163">
        <v>0</v>
      </c>
      <c r="AA115" s="163">
        <v>0</v>
      </c>
      <c r="AB115" s="163">
        <v>0</v>
      </c>
      <c r="AC115" s="163">
        <v>0</v>
      </c>
      <c r="AD115" s="276">
        <v>0</v>
      </c>
      <c r="AE115" s="276">
        <v>0</v>
      </c>
      <c r="AF115" s="276">
        <v>0</v>
      </c>
      <c r="AG115" s="276">
        <v>0</v>
      </c>
      <c r="AH115" s="276">
        <v>0</v>
      </c>
      <c r="AI115" s="276">
        <v>0</v>
      </c>
      <c r="AJ115" s="276">
        <v>0</v>
      </c>
      <c r="AK115" s="276">
        <v>0</v>
      </c>
      <c r="AL115" s="276">
        <v>0</v>
      </c>
      <c r="AM115" s="276">
        <v>0</v>
      </c>
      <c r="AN115" s="276">
        <v>0</v>
      </c>
      <c r="AO115" s="6"/>
    </row>
    <row r="116" spans="1:44" s="3" customFormat="1" outlineLevel="1">
      <c r="A116" s="263" t="s">
        <v>1</v>
      </c>
      <c r="B116" s="263"/>
      <c r="C116" s="96"/>
      <c r="E116" s="2" t="s">
        <v>1</v>
      </c>
      <c r="F116" s="2"/>
      <c r="G116" s="2"/>
      <c r="H116" s="7"/>
      <c r="I116" s="7"/>
      <c r="J116" s="7"/>
      <c r="K116" s="7"/>
      <c r="L116" s="7"/>
      <c r="M116" s="7"/>
      <c r="N116" s="7"/>
      <c r="O116" s="7"/>
      <c r="P116" s="7"/>
      <c r="Q116" s="7">
        <f t="shared" ref="Q116:X116" si="250">SUM(Q110:Q115)</f>
        <v>145</v>
      </c>
      <c r="R116" s="7">
        <f t="shared" si="250"/>
        <v>197</v>
      </c>
      <c r="S116" s="7">
        <f t="shared" si="250"/>
        <v>396</v>
      </c>
      <c r="T116" s="7">
        <f t="shared" si="250"/>
        <v>591</v>
      </c>
      <c r="U116" s="7">
        <f t="shared" si="250"/>
        <v>1078</v>
      </c>
      <c r="V116" s="7">
        <f t="shared" si="250"/>
        <v>1391</v>
      </c>
      <c r="W116" s="7">
        <f t="shared" si="250"/>
        <v>1518</v>
      </c>
      <c r="X116" s="7">
        <f t="shared" si="250"/>
        <v>1415</v>
      </c>
      <c r="Y116" s="7">
        <f>SUM(Y110:Y115)</f>
        <v>1507</v>
      </c>
      <c r="Z116" s="7">
        <f>SUM(Z110:Z115)</f>
        <v>1951</v>
      </c>
      <c r="AA116" s="7">
        <f>SUM(AA110:AA115)</f>
        <v>2152</v>
      </c>
      <c r="AB116" s="7">
        <f>SUM(AB110:AB115)</f>
        <v>1800</v>
      </c>
      <c r="AC116" s="7">
        <f t="shared" ref="AC116:AN116" si="251">SUM(AC110:AC115)</f>
        <v>2277</v>
      </c>
      <c r="AD116" s="7">
        <f t="shared" si="251"/>
        <v>3044.8882612157977</v>
      </c>
      <c r="AE116" s="7">
        <f t="shared" ca="1" si="251"/>
        <v>3456.9405216887476</v>
      </c>
      <c r="AF116" s="7">
        <f t="shared" ca="1" si="251"/>
        <v>3759.9609476355636</v>
      </c>
      <c r="AG116" s="7">
        <f t="shared" ca="1" si="251"/>
        <v>4067.6859433072082</v>
      </c>
      <c r="AH116" s="7">
        <f t="shared" ca="1" si="251"/>
        <v>4419.9173713473956</v>
      </c>
      <c r="AI116" s="7">
        <f t="shared" ca="1" si="251"/>
        <v>4783.4325985160249</v>
      </c>
      <c r="AJ116" s="7">
        <f t="shared" ca="1" si="251"/>
        <v>5204.7274358571594</v>
      </c>
      <c r="AK116" s="7">
        <f t="shared" ca="1" si="251"/>
        <v>5645.255536618246</v>
      </c>
      <c r="AL116" s="7">
        <f t="shared" ca="1" si="251"/>
        <v>6051.9791769006515</v>
      </c>
      <c r="AM116" s="7">
        <f t="shared" ca="1" si="251"/>
        <v>6472.4115273999641</v>
      </c>
      <c r="AN116" s="7">
        <f t="shared" ca="1" si="251"/>
        <v>6788.6348439536714</v>
      </c>
      <c r="AO116" s="39"/>
      <c r="AP116" s="160">
        <f ca="1">+(AM116/AC116)^(0.1)-1</f>
        <v>0.11012097697019563</v>
      </c>
      <c r="AQ116" s="160">
        <f t="shared" ref="AQ116" si="252">+(AC116/S116)^(1/10)-1</f>
        <v>0.19115090343250696</v>
      </c>
      <c r="AR116" s="50"/>
    </row>
    <row r="117" spans="1:44" outlineLevel="1">
      <c r="E117" s="45" t="s">
        <v>67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63">
        <v>0</v>
      </c>
      <c r="R117" s="163">
        <v>0</v>
      </c>
      <c r="S117" s="163">
        <v>0</v>
      </c>
      <c r="T117" s="163">
        <v>0</v>
      </c>
      <c r="U117" s="163">
        <v>0</v>
      </c>
      <c r="V117" s="163">
        <v>0</v>
      </c>
      <c r="W117" s="163">
        <v>0</v>
      </c>
      <c r="X117" s="163">
        <v>0</v>
      </c>
      <c r="Y117" s="163">
        <v>0</v>
      </c>
      <c r="Z117" s="163">
        <v>0</v>
      </c>
      <c r="AA117" s="163">
        <v>0</v>
      </c>
      <c r="AB117" s="163">
        <v>0</v>
      </c>
      <c r="AC117" s="163">
        <v>0</v>
      </c>
      <c r="AD117" s="276">
        <f>AC117</f>
        <v>0</v>
      </c>
      <c r="AE117" s="276">
        <f t="shared" ref="AE117:AN117" si="253">AD117</f>
        <v>0</v>
      </c>
      <c r="AF117" s="276">
        <f t="shared" si="253"/>
        <v>0</v>
      </c>
      <c r="AG117" s="276">
        <f t="shared" si="253"/>
        <v>0</v>
      </c>
      <c r="AH117" s="276">
        <f t="shared" si="253"/>
        <v>0</v>
      </c>
      <c r="AI117" s="276">
        <f t="shared" si="253"/>
        <v>0</v>
      </c>
      <c r="AJ117" s="276">
        <f t="shared" si="253"/>
        <v>0</v>
      </c>
      <c r="AK117" s="276">
        <f t="shared" si="253"/>
        <v>0</v>
      </c>
      <c r="AL117" s="276">
        <f t="shared" si="253"/>
        <v>0</v>
      </c>
      <c r="AM117" s="276">
        <f t="shared" si="253"/>
        <v>0</v>
      </c>
      <c r="AN117" s="276">
        <f t="shared" si="253"/>
        <v>0</v>
      </c>
      <c r="AO117" s="6"/>
    </row>
    <row r="118" spans="1:44" outlineLevel="1">
      <c r="E118" s="45" t="s">
        <v>68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52">
        <f t="shared" ref="Q118:X118" si="254">-SUM(Q20:Q21)</f>
        <v>-221</v>
      </c>
      <c r="R118" s="52">
        <f t="shared" si="254"/>
        <v>-260</v>
      </c>
      <c r="S118" s="52">
        <f t="shared" si="254"/>
        <v>-232</v>
      </c>
      <c r="T118" s="52">
        <f t="shared" si="254"/>
        <v>-503</v>
      </c>
      <c r="U118" s="52">
        <f t="shared" si="254"/>
        <v>-473</v>
      </c>
      <c r="V118" s="52">
        <f t="shared" si="254"/>
        <v>-541</v>
      </c>
      <c r="W118" s="52">
        <f t="shared" si="254"/>
        <v>-555</v>
      </c>
      <c r="X118" s="52">
        <f t="shared" si="254"/>
        <v>-506</v>
      </c>
      <c r="Y118" s="52">
        <f t="shared" ref="Y118:AN118" si="255">-SUM(Y20:Y21)</f>
        <v>-459</v>
      </c>
      <c r="Z118" s="52">
        <f t="shared" si="255"/>
        <v>-475</v>
      </c>
      <c r="AA118" s="52">
        <f t="shared" si="255"/>
        <v>-638</v>
      </c>
      <c r="AB118" s="52">
        <f t="shared" si="255"/>
        <v>-661</v>
      </c>
      <c r="AC118" s="52">
        <f t="shared" si="255"/>
        <v>-431</v>
      </c>
      <c r="AD118" s="52">
        <f t="shared" ca="1" si="255"/>
        <v>-475.64416098361272</v>
      </c>
      <c r="AE118" s="52">
        <f t="shared" ca="1" si="255"/>
        <v>-555.08401178165798</v>
      </c>
      <c r="AF118" s="52">
        <f t="shared" ca="1" si="255"/>
        <v>-611.5833310599603</v>
      </c>
      <c r="AG118" s="52">
        <f t="shared" ca="1" si="255"/>
        <v>-646.07075618460124</v>
      </c>
      <c r="AH118" s="52">
        <f t="shared" ca="1" si="255"/>
        <v>-683.71201337330774</v>
      </c>
      <c r="AI118" s="52">
        <f t="shared" ca="1" si="255"/>
        <v>-724.7000086641325</v>
      </c>
      <c r="AJ118" s="52">
        <f t="shared" ca="1" si="255"/>
        <v>-769.54124518984929</v>
      </c>
      <c r="AK118" s="52">
        <f t="shared" ca="1" si="255"/>
        <v>-818.57231668581721</v>
      </c>
      <c r="AL118" s="52">
        <f t="shared" ca="1" si="255"/>
        <v>-867.53523351082026</v>
      </c>
      <c r="AM118" s="52">
        <f t="shared" ca="1" si="255"/>
        <v>-915.58993894843297</v>
      </c>
      <c r="AN118" s="52">
        <f t="shared" ca="1" si="255"/>
        <v>-959.10720282314844</v>
      </c>
      <c r="AO118" s="6"/>
    </row>
    <row r="119" spans="1:44" s="3" customFormat="1" outlineLevel="1">
      <c r="A119" s="263" t="s">
        <v>69</v>
      </c>
      <c r="B119" s="263"/>
      <c r="C119" s="96"/>
      <c r="E119" s="2" t="s">
        <v>69</v>
      </c>
      <c r="F119" s="2"/>
      <c r="G119" s="2"/>
      <c r="H119" s="7"/>
      <c r="I119" s="7"/>
      <c r="J119" s="7"/>
      <c r="K119" s="7"/>
      <c r="L119" s="7"/>
      <c r="M119" s="7"/>
      <c r="N119" s="7"/>
      <c r="O119" s="7"/>
      <c r="P119" s="7"/>
      <c r="Q119" s="7">
        <f t="shared" ref="Q119:X119" si="256">SUM(Q116:Q118)</f>
        <v>-76</v>
      </c>
      <c r="R119" s="7">
        <f t="shared" si="256"/>
        <v>-63</v>
      </c>
      <c r="S119" s="7">
        <f t="shared" si="256"/>
        <v>164</v>
      </c>
      <c r="T119" s="7">
        <f t="shared" si="256"/>
        <v>88</v>
      </c>
      <c r="U119" s="7">
        <f t="shared" si="256"/>
        <v>605</v>
      </c>
      <c r="V119" s="7">
        <f t="shared" si="256"/>
        <v>850</v>
      </c>
      <c r="W119" s="7">
        <f t="shared" si="256"/>
        <v>963</v>
      </c>
      <c r="X119" s="7">
        <f t="shared" si="256"/>
        <v>909</v>
      </c>
      <c r="Y119" s="7">
        <f>SUM(Y116:Y118)</f>
        <v>1048</v>
      </c>
      <c r="Z119" s="7">
        <f>SUM(Z116:Z118)</f>
        <v>1476</v>
      </c>
      <c r="AA119" s="7">
        <f>SUM(AA116:AA118)</f>
        <v>1514</v>
      </c>
      <c r="AB119" s="7">
        <f>SUM(AB116:AB118)</f>
        <v>1139</v>
      </c>
      <c r="AC119" s="7">
        <f t="shared" ref="AC119:AM119" si="257">SUM(AC116:AC118)</f>
        <v>1846</v>
      </c>
      <c r="AD119" s="7">
        <f t="shared" ca="1" si="257"/>
        <v>2569.2441002321848</v>
      </c>
      <c r="AE119" s="7">
        <f t="shared" ca="1" si="257"/>
        <v>2901.8565099070897</v>
      </c>
      <c r="AF119" s="7">
        <f t="shared" ca="1" si="257"/>
        <v>3148.3776165756035</v>
      </c>
      <c r="AG119" s="7">
        <f t="shared" ca="1" si="257"/>
        <v>3421.615187122607</v>
      </c>
      <c r="AH119" s="7">
        <f t="shared" ca="1" si="257"/>
        <v>3736.2053579740877</v>
      </c>
      <c r="AI119" s="7">
        <f t="shared" ca="1" si="257"/>
        <v>4058.7325898518925</v>
      </c>
      <c r="AJ119" s="7">
        <f t="shared" ca="1" si="257"/>
        <v>4435.1861906673103</v>
      </c>
      <c r="AK119" s="7">
        <f t="shared" ca="1" si="257"/>
        <v>4826.683219932429</v>
      </c>
      <c r="AL119" s="7">
        <f t="shared" ca="1" si="257"/>
        <v>5184.4439433898315</v>
      </c>
      <c r="AM119" s="7">
        <f t="shared" ca="1" si="257"/>
        <v>5556.8215884515312</v>
      </c>
      <c r="AN119" s="7">
        <f ca="1">SUM(AN116:AN118)</f>
        <v>5829.5276411305231</v>
      </c>
      <c r="AO119" s="39"/>
      <c r="AP119" s="50"/>
      <c r="AQ119" s="50"/>
      <c r="AR119" s="6"/>
    </row>
    <row r="120" spans="1:44" outlineLevel="1">
      <c r="E120" s="45" t="s">
        <v>70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2">
        <f t="shared" ref="Q120:X120" si="258">-Q23</f>
        <v>51</v>
      </c>
      <c r="R120" s="52">
        <f t="shared" si="258"/>
        <v>-17</v>
      </c>
      <c r="S120" s="52">
        <f t="shared" si="258"/>
        <v>-24</v>
      </c>
      <c r="T120" s="52">
        <f t="shared" si="258"/>
        <v>-29</v>
      </c>
      <c r="U120" s="52">
        <f t="shared" si="258"/>
        <v>-51</v>
      </c>
      <c r="V120" s="52">
        <f t="shared" si="258"/>
        <v>-49</v>
      </c>
      <c r="W120" s="52">
        <f t="shared" si="258"/>
        <v>-42</v>
      </c>
      <c r="X120" s="52">
        <f t="shared" si="258"/>
        <v>-220</v>
      </c>
      <c r="Y120" s="52">
        <f t="shared" ref="Y120:AC121" si="259">-Y23</f>
        <v>-235</v>
      </c>
      <c r="Z120" s="52">
        <f t="shared" si="259"/>
        <v>-123</v>
      </c>
      <c r="AA120" s="52">
        <f t="shared" si="259"/>
        <v>-136</v>
      </c>
      <c r="AB120" s="52">
        <f t="shared" si="259"/>
        <v>-370</v>
      </c>
      <c r="AC120" s="52">
        <f t="shared" si="259"/>
        <v>-192</v>
      </c>
      <c r="AD120" s="132">
        <f t="shared" ref="AD120" ca="1" si="260">-AD119*AD122</f>
        <v>-385.38661503482768</v>
      </c>
      <c r="AE120" s="132">
        <f t="shared" ref="AE120" ca="1" si="261">-AE119*AE122</f>
        <v>-290.18565099070901</v>
      </c>
      <c r="AF120" s="132">
        <f t="shared" ref="AF120" ca="1" si="262">-AF119*AF122</f>
        <v>-409.28909015482844</v>
      </c>
      <c r="AG120" s="132">
        <f t="shared" ref="AG120:AN120" ca="1" si="263">-AG119*AG122</f>
        <v>-547.45842993961719</v>
      </c>
      <c r="AH120" s="132">
        <f t="shared" ca="1" si="263"/>
        <v>-709.87901801507667</v>
      </c>
      <c r="AI120" s="132">
        <f t="shared" ca="1" si="263"/>
        <v>-892.92116976741636</v>
      </c>
      <c r="AJ120" s="132">
        <f t="shared" ca="1" si="263"/>
        <v>-1108.7965476668276</v>
      </c>
      <c r="AK120" s="132">
        <f t="shared" ca="1" si="263"/>
        <v>-1206.6708049831072</v>
      </c>
      <c r="AL120" s="132">
        <f t="shared" ca="1" si="263"/>
        <v>-1296.1109858474579</v>
      </c>
      <c r="AM120" s="132">
        <f t="shared" ca="1" si="263"/>
        <v>-1389.2053971128828</v>
      </c>
      <c r="AN120" s="132">
        <f t="shared" ca="1" si="263"/>
        <v>-1457.3819102826308</v>
      </c>
      <c r="AO120" s="6"/>
    </row>
    <row r="121" spans="1:44" s="45" customFormat="1" outlineLevel="1">
      <c r="A121" s="264"/>
      <c r="B121" s="264"/>
      <c r="C121" s="97"/>
      <c r="E121" s="45" t="s">
        <v>72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2">
        <f t="shared" ref="Q121:X121" si="264">-Q24</f>
        <v>-4</v>
      </c>
      <c r="R121" s="52">
        <f t="shared" si="264"/>
        <v>58</v>
      </c>
      <c r="S121" s="52">
        <f t="shared" si="264"/>
        <v>-39</v>
      </c>
      <c r="T121" s="52">
        <f t="shared" si="264"/>
        <v>16</v>
      </c>
      <c r="U121" s="52">
        <f t="shared" si="264"/>
        <v>-167</v>
      </c>
      <c r="V121" s="52">
        <f t="shared" si="264"/>
        <v>-261</v>
      </c>
      <c r="W121" s="52">
        <f t="shared" si="264"/>
        <v>-336</v>
      </c>
      <c r="X121" s="52">
        <f t="shared" si="264"/>
        <v>-123</v>
      </c>
      <c r="Y121" s="52">
        <f t="shared" si="259"/>
        <v>533</v>
      </c>
      <c r="Z121" s="52">
        <f t="shared" si="259"/>
        <v>-257</v>
      </c>
      <c r="AA121" s="52">
        <f t="shared" si="259"/>
        <v>-204</v>
      </c>
      <c r="AB121" s="52">
        <f t="shared" si="259"/>
        <v>121</v>
      </c>
      <c r="AC121" s="52">
        <f t="shared" si="259"/>
        <v>-268</v>
      </c>
      <c r="AD121" s="132">
        <f t="shared" ref="AD121" ca="1" si="265">-AD119*AD123</f>
        <v>-231.23196902089663</v>
      </c>
      <c r="AE121" s="132">
        <f t="shared" ref="AE121" ca="1" si="266">-AE119*AE123</f>
        <v>-435.27847648606343</v>
      </c>
      <c r="AF121" s="132">
        <f t="shared" ref="AF121" ca="1" si="267">-AF119*AF123</f>
        <v>-377.80531398907243</v>
      </c>
      <c r="AG121" s="132">
        <f t="shared" ref="AG121:AN121" ca="1" si="268">-AG119*AG123</f>
        <v>-307.94536684103463</v>
      </c>
      <c r="AH121" s="132">
        <f t="shared" ca="1" si="268"/>
        <v>-224.17232147844527</v>
      </c>
      <c r="AI121" s="132">
        <f t="shared" ca="1" si="268"/>
        <v>-121.76197769555677</v>
      </c>
      <c r="AJ121" s="132">
        <f t="shared" ca="1" si="268"/>
        <v>0</v>
      </c>
      <c r="AK121" s="132">
        <f t="shared" ca="1" si="268"/>
        <v>0</v>
      </c>
      <c r="AL121" s="132">
        <f t="shared" ca="1" si="268"/>
        <v>0</v>
      </c>
      <c r="AM121" s="132">
        <f t="shared" ca="1" si="268"/>
        <v>0</v>
      </c>
      <c r="AN121" s="132">
        <f t="shared" ca="1" si="268"/>
        <v>0</v>
      </c>
      <c r="AO121" s="56"/>
    </row>
    <row r="122" spans="1:44" outlineLevel="1">
      <c r="A122" s="263" t="s">
        <v>71</v>
      </c>
      <c r="B122" s="263"/>
      <c r="E122" s="54" t="s">
        <v>71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>
        <f t="shared" ref="Q122:X122" si="269">-Q120/Q$119</f>
        <v>0.67105263157894735</v>
      </c>
      <c r="R122" s="55">
        <f t="shared" si="269"/>
        <v>-0.26984126984126983</v>
      </c>
      <c r="S122" s="55">
        <f t="shared" si="269"/>
        <v>0.14634146341463414</v>
      </c>
      <c r="T122" s="55">
        <f t="shared" si="269"/>
        <v>0.32954545454545453</v>
      </c>
      <c r="U122" s="55">
        <f t="shared" si="269"/>
        <v>8.4297520661157019E-2</v>
      </c>
      <c r="V122" s="55">
        <f t="shared" si="269"/>
        <v>5.7647058823529412E-2</v>
      </c>
      <c r="W122" s="55">
        <f t="shared" si="269"/>
        <v>4.3613707165109032E-2</v>
      </c>
      <c r="X122" s="55">
        <f t="shared" si="269"/>
        <v>0.24202420242024203</v>
      </c>
      <c r="Y122" s="55">
        <f t="shared" ref="Y122:AB123" si="270">-Y120/Y$119</f>
        <v>0.22423664122137404</v>
      </c>
      <c r="Z122" s="55">
        <f t="shared" si="270"/>
        <v>8.3333333333333329E-2</v>
      </c>
      <c r="AA122" s="55">
        <f t="shared" si="270"/>
        <v>8.982826948480846E-2</v>
      </c>
      <c r="AB122" s="55">
        <f t="shared" si="270"/>
        <v>0.32484635645302895</v>
      </c>
      <c r="AC122" s="55">
        <f t="shared" ref="AC122:AC123" si="271">-AC120/AC$119</f>
        <v>0.10400866738894908</v>
      </c>
      <c r="AD122" s="277">
        <v>0.15</v>
      </c>
      <c r="AE122" s="277">
        <v>0.1</v>
      </c>
      <c r="AF122" s="277">
        <f ca="1">DCF!$B$15-AF123</f>
        <v>0.13</v>
      </c>
      <c r="AG122" s="277">
        <f ca="1">DCF!$B$15-AG123</f>
        <v>0.16</v>
      </c>
      <c r="AH122" s="277">
        <f ca="1">DCF!$B$15-AH123</f>
        <v>0.19</v>
      </c>
      <c r="AI122" s="277">
        <f ca="1">DCF!$B$15-AI123</f>
        <v>0.22</v>
      </c>
      <c r="AJ122" s="277">
        <f ca="1">DCF!$B$15-AJ123</f>
        <v>0.25</v>
      </c>
      <c r="AK122" s="277">
        <f ca="1">DCF!$B$15-AK123</f>
        <v>0.25</v>
      </c>
      <c r="AL122" s="277">
        <f ca="1">DCF!$B$15-AL123</f>
        <v>0.25</v>
      </c>
      <c r="AM122" s="277">
        <f ca="1">DCF!$B$15-AM123</f>
        <v>0.25</v>
      </c>
      <c r="AN122" s="277">
        <f ca="1">DCF!$B$15-AN123</f>
        <v>0.25</v>
      </c>
      <c r="AO122" s="6"/>
    </row>
    <row r="123" spans="1:44" s="45" customFormat="1" outlineLevel="1">
      <c r="A123" s="263" t="s">
        <v>73</v>
      </c>
      <c r="B123" s="263"/>
      <c r="C123" s="97"/>
      <c r="E123" s="54" t="s">
        <v>73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>
        <f t="shared" ref="Q123:X123" si="272">-Q121/Q$119</f>
        <v>-5.2631578947368418E-2</v>
      </c>
      <c r="R123" s="55">
        <f t="shared" si="272"/>
        <v>0.92063492063492058</v>
      </c>
      <c r="S123" s="55">
        <f t="shared" si="272"/>
        <v>0.23780487804878048</v>
      </c>
      <c r="T123" s="55">
        <f t="shared" si="272"/>
        <v>-0.18181818181818182</v>
      </c>
      <c r="U123" s="55">
        <f t="shared" si="272"/>
        <v>0.27603305785123966</v>
      </c>
      <c r="V123" s="55">
        <f t="shared" si="272"/>
        <v>0.30705882352941177</v>
      </c>
      <c r="W123" s="55">
        <f t="shared" si="272"/>
        <v>0.34890965732087226</v>
      </c>
      <c r="X123" s="55">
        <f t="shared" si="272"/>
        <v>0.13531353135313531</v>
      </c>
      <c r="Y123" s="55">
        <f t="shared" si="270"/>
        <v>-0.50858778625954193</v>
      </c>
      <c r="Z123" s="55">
        <f t="shared" si="270"/>
        <v>0.17411924119241193</v>
      </c>
      <c r="AA123" s="55">
        <f t="shared" si="270"/>
        <v>0.13474240422721268</v>
      </c>
      <c r="AB123" s="55">
        <f t="shared" si="270"/>
        <v>-0.10623353819139596</v>
      </c>
      <c r="AC123" s="55">
        <f t="shared" si="271"/>
        <v>0.14517876489707476</v>
      </c>
      <c r="AD123" s="277">
        <v>0.09</v>
      </c>
      <c r="AE123" s="277">
        <v>0.15</v>
      </c>
      <c r="AF123" s="277">
        <f t="shared" ref="AF123:AN123" si="273">MAX(AE123-0.03,0)</f>
        <v>0.12</v>
      </c>
      <c r="AG123" s="277">
        <f t="shared" si="273"/>
        <v>0.09</v>
      </c>
      <c r="AH123" s="277">
        <f t="shared" si="273"/>
        <v>0.06</v>
      </c>
      <c r="AI123" s="277">
        <f t="shared" si="273"/>
        <v>0.03</v>
      </c>
      <c r="AJ123" s="277">
        <f t="shared" si="273"/>
        <v>0</v>
      </c>
      <c r="AK123" s="277">
        <f t="shared" si="273"/>
        <v>0</v>
      </c>
      <c r="AL123" s="277">
        <f t="shared" si="273"/>
        <v>0</v>
      </c>
      <c r="AM123" s="277">
        <f t="shared" si="273"/>
        <v>0</v>
      </c>
      <c r="AN123" s="277">
        <f t="shared" si="273"/>
        <v>0</v>
      </c>
      <c r="AO123" s="56"/>
    </row>
    <row r="124" spans="1:44" s="3" customFormat="1" outlineLevel="1">
      <c r="A124" s="263" t="s">
        <v>74</v>
      </c>
      <c r="B124" s="263"/>
      <c r="C124" s="96"/>
      <c r="E124" s="2" t="s">
        <v>74</v>
      </c>
      <c r="F124" s="2"/>
      <c r="G124" s="2"/>
      <c r="H124" s="7"/>
      <c r="I124" s="7"/>
      <c r="J124" s="7"/>
      <c r="K124" s="7"/>
      <c r="L124" s="7"/>
      <c r="M124" s="7"/>
      <c r="N124" s="7"/>
      <c r="O124" s="7"/>
      <c r="P124" s="7"/>
      <c r="Q124" s="7">
        <f t="shared" ref="Q124:X124" si="274">+Q119+Q120+Q121</f>
        <v>-29</v>
      </c>
      <c r="R124" s="7">
        <f t="shared" si="274"/>
        <v>-22</v>
      </c>
      <c r="S124" s="7">
        <f t="shared" si="274"/>
        <v>101</v>
      </c>
      <c r="T124" s="7">
        <f t="shared" si="274"/>
        <v>75</v>
      </c>
      <c r="U124" s="7">
        <f t="shared" si="274"/>
        <v>387</v>
      </c>
      <c r="V124" s="7">
        <f t="shared" si="274"/>
        <v>540</v>
      </c>
      <c r="W124" s="7">
        <f t="shared" si="274"/>
        <v>585</v>
      </c>
      <c r="X124" s="7">
        <f t="shared" si="274"/>
        <v>566</v>
      </c>
      <c r="Y124" s="7">
        <f t="shared" ref="Y124:AN124" si="275">+Y119+Y120+Y121</f>
        <v>1346</v>
      </c>
      <c r="Z124" s="7">
        <f t="shared" si="275"/>
        <v>1096</v>
      </c>
      <c r="AA124" s="7">
        <f t="shared" si="275"/>
        <v>1174</v>
      </c>
      <c r="AB124" s="7">
        <f t="shared" si="275"/>
        <v>890</v>
      </c>
      <c r="AC124" s="7">
        <f t="shared" si="275"/>
        <v>1386</v>
      </c>
      <c r="AD124" s="7">
        <f t="shared" ref="AD124" ca="1" si="276">+AD119+AD120+AD121</f>
        <v>1952.6255161764605</v>
      </c>
      <c r="AE124" s="7">
        <f t="shared" ref="AE124" ca="1" si="277">+AE119+AE120+AE121</f>
        <v>2176.3923824303174</v>
      </c>
      <c r="AF124" s="7">
        <f t="shared" ca="1" si="275"/>
        <v>2361.2832124317024</v>
      </c>
      <c r="AG124" s="7">
        <f t="shared" ca="1" si="275"/>
        <v>2566.2113903419554</v>
      </c>
      <c r="AH124" s="7">
        <f t="shared" ca="1" si="275"/>
        <v>2802.1540184805658</v>
      </c>
      <c r="AI124" s="7">
        <f t="shared" ca="1" si="275"/>
        <v>3044.0494423889195</v>
      </c>
      <c r="AJ124" s="7">
        <f t="shared" ca="1" si="275"/>
        <v>3326.3896430004825</v>
      </c>
      <c r="AK124" s="7">
        <f t="shared" ca="1" si="275"/>
        <v>3620.0124149493217</v>
      </c>
      <c r="AL124" s="7">
        <f t="shared" ca="1" si="275"/>
        <v>3888.3329575423736</v>
      </c>
      <c r="AM124" s="7">
        <f t="shared" ca="1" si="275"/>
        <v>4167.6161913386486</v>
      </c>
      <c r="AN124" s="7">
        <f t="shared" ca="1" si="275"/>
        <v>4372.1457308478921</v>
      </c>
      <c r="AO124" s="39"/>
      <c r="AP124" s="50"/>
      <c r="AQ124" s="50"/>
    </row>
    <row r="125" spans="1:44" outlineLevel="1">
      <c r="E125" s="45" t="s">
        <v>75</v>
      </c>
      <c r="H125" s="137"/>
      <c r="I125" s="137"/>
      <c r="J125" s="137"/>
      <c r="K125" s="137"/>
      <c r="L125" s="137"/>
      <c r="M125" s="137"/>
      <c r="N125" s="137"/>
      <c r="O125" s="137"/>
      <c r="P125" s="137"/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  <c r="AB125" s="161">
        <v>0</v>
      </c>
      <c r="AC125" s="161">
        <v>0</v>
      </c>
      <c r="AD125" s="273">
        <f>AC125</f>
        <v>0</v>
      </c>
      <c r="AE125" s="273">
        <f t="shared" ref="AE125:AN125" si="278">AD125</f>
        <v>0</v>
      </c>
      <c r="AF125" s="273">
        <f t="shared" si="278"/>
        <v>0</v>
      </c>
      <c r="AG125" s="273">
        <f t="shared" si="278"/>
        <v>0</v>
      </c>
      <c r="AH125" s="273">
        <f t="shared" si="278"/>
        <v>0</v>
      </c>
      <c r="AI125" s="273">
        <f t="shared" si="278"/>
        <v>0</v>
      </c>
      <c r="AJ125" s="273">
        <f t="shared" si="278"/>
        <v>0</v>
      </c>
      <c r="AK125" s="273">
        <f t="shared" si="278"/>
        <v>0</v>
      </c>
      <c r="AL125" s="273">
        <f t="shared" si="278"/>
        <v>0</v>
      </c>
      <c r="AM125" s="273">
        <f t="shared" si="278"/>
        <v>0</v>
      </c>
      <c r="AN125" s="273">
        <f t="shared" si="278"/>
        <v>0</v>
      </c>
      <c r="AO125" s="6"/>
    </row>
    <row r="126" spans="1:44" outlineLevel="1">
      <c r="E126" s="45" t="s">
        <v>76</v>
      </c>
      <c r="H126" s="137"/>
      <c r="I126" s="137"/>
      <c r="J126" s="137"/>
      <c r="K126" s="137"/>
      <c r="L126" s="137"/>
      <c r="M126" s="137"/>
      <c r="N126" s="137"/>
      <c r="O126" s="137"/>
      <c r="P126" s="137"/>
      <c r="Q126" s="161">
        <v>0</v>
      </c>
      <c r="R126" s="161">
        <v>0</v>
      </c>
      <c r="S126" s="161">
        <v>0</v>
      </c>
      <c r="T126" s="161">
        <v>0</v>
      </c>
      <c r="U126" s="161">
        <v>0</v>
      </c>
      <c r="V126" s="161">
        <v>0</v>
      </c>
      <c r="W126" s="161">
        <v>0</v>
      </c>
      <c r="X126" s="161">
        <v>0</v>
      </c>
      <c r="Y126" s="161">
        <v>0</v>
      </c>
      <c r="Z126" s="161">
        <v>0</v>
      </c>
      <c r="AA126" s="161">
        <v>0</v>
      </c>
      <c r="AB126" s="161">
        <v>0</v>
      </c>
      <c r="AC126" s="161">
        <v>0</v>
      </c>
      <c r="AD126" s="273">
        <f t="shared" ref="AD126:AN126" si="279">AC126</f>
        <v>0</v>
      </c>
      <c r="AE126" s="273">
        <f t="shared" si="279"/>
        <v>0</v>
      </c>
      <c r="AF126" s="273">
        <f t="shared" si="279"/>
        <v>0</v>
      </c>
      <c r="AG126" s="273">
        <f t="shared" si="279"/>
        <v>0</v>
      </c>
      <c r="AH126" s="273">
        <f t="shared" si="279"/>
        <v>0</v>
      </c>
      <c r="AI126" s="273">
        <f t="shared" si="279"/>
        <v>0</v>
      </c>
      <c r="AJ126" s="273">
        <f t="shared" si="279"/>
        <v>0</v>
      </c>
      <c r="AK126" s="273">
        <f t="shared" si="279"/>
        <v>0</v>
      </c>
      <c r="AL126" s="273">
        <f t="shared" si="279"/>
        <v>0</v>
      </c>
      <c r="AM126" s="273">
        <f t="shared" si="279"/>
        <v>0</v>
      </c>
      <c r="AN126" s="273">
        <f t="shared" si="279"/>
        <v>0</v>
      </c>
      <c r="AO126" s="6"/>
    </row>
    <row r="127" spans="1:44" outlineLevel="1">
      <c r="E127" s="45" t="s">
        <v>77</v>
      </c>
      <c r="H127" s="137"/>
      <c r="I127" s="137"/>
      <c r="J127" s="137"/>
      <c r="K127" s="137"/>
      <c r="L127" s="137"/>
      <c r="M127" s="137"/>
      <c r="N127" s="137"/>
      <c r="O127" s="137"/>
      <c r="P127" s="137"/>
      <c r="Q127" s="161">
        <v>0</v>
      </c>
      <c r="R127" s="161">
        <v>0</v>
      </c>
      <c r="S127" s="161">
        <v>0</v>
      </c>
      <c r="T127" s="161">
        <v>0</v>
      </c>
      <c r="U127" s="161">
        <v>0</v>
      </c>
      <c r="V127" s="161">
        <v>0</v>
      </c>
      <c r="W127" s="161">
        <v>0</v>
      </c>
      <c r="X127" s="161">
        <v>0</v>
      </c>
      <c r="Y127" s="161">
        <v>0</v>
      </c>
      <c r="Z127" s="161">
        <v>0</v>
      </c>
      <c r="AA127" s="161">
        <v>0</v>
      </c>
      <c r="AB127" s="161">
        <v>0</v>
      </c>
      <c r="AC127" s="161">
        <v>0</v>
      </c>
      <c r="AD127" s="273">
        <f t="shared" ref="AD127:AN127" si="280">AC127</f>
        <v>0</v>
      </c>
      <c r="AE127" s="273">
        <f t="shared" si="280"/>
        <v>0</v>
      </c>
      <c r="AF127" s="273">
        <f t="shared" si="280"/>
        <v>0</v>
      </c>
      <c r="AG127" s="273">
        <f t="shared" si="280"/>
        <v>0</v>
      </c>
      <c r="AH127" s="273">
        <f t="shared" si="280"/>
        <v>0</v>
      </c>
      <c r="AI127" s="273">
        <f t="shared" si="280"/>
        <v>0</v>
      </c>
      <c r="AJ127" s="273">
        <f t="shared" si="280"/>
        <v>0</v>
      </c>
      <c r="AK127" s="273">
        <f t="shared" si="280"/>
        <v>0</v>
      </c>
      <c r="AL127" s="273">
        <f t="shared" si="280"/>
        <v>0</v>
      </c>
      <c r="AM127" s="273">
        <f t="shared" si="280"/>
        <v>0</v>
      </c>
      <c r="AN127" s="273">
        <f t="shared" si="280"/>
        <v>0</v>
      </c>
      <c r="AO127" s="6"/>
    </row>
    <row r="128" spans="1:44" s="3" customFormat="1" outlineLevel="1">
      <c r="A128" s="263" t="s">
        <v>78</v>
      </c>
      <c r="B128" s="263"/>
      <c r="C128" s="96"/>
      <c r="E128" s="2" t="s">
        <v>78</v>
      </c>
      <c r="F128" s="2"/>
      <c r="G128" s="2"/>
      <c r="H128" s="7"/>
      <c r="I128" s="7"/>
      <c r="J128" s="7"/>
      <c r="K128" s="7"/>
      <c r="L128" s="7"/>
      <c r="M128" s="7"/>
      <c r="N128" s="7"/>
      <c r="O128" s="7"/>
      <c r="P128" s="7"/>
      <c r="Q128" s="7">
        <f t="shared" ref="Q128:X128" si="281">SUM(Q124:Q127)</f>
        <v>-29</v>
      </c>
      <c r="R128" s="7">
        <f t="shared" si="281"/>
        <v>-22</v>
      </c>
      <c r="S128" s="7">
        <f t="shared" si="281"/>
        <v>101</v>
      </c>
      <c r="T128" s="7">
        <f t="shared" si="281"/>
        <v>75</v>
      </c>
      <c r="U128" s="7">
        <f t="shared" si="281"/>
        <v>387</v>
      </c>
      <c r="V128" s="7">
        <f t="shared" si="281"/>
        <v>540</v>
      </c>
      <c r="W128" s="7">
        <f t="shared" si="281"/>
        <v>585</v>
      </c>
      <c r="X128" s="7">
        <f t="shared" si="281"/>
        <v>566</v>
      </c>
      <c r="Y128" s="7">
        <f>SUM(Y124:Y127)</f>
        <v>1346</v>
      </c>
      <c r="Z128" s="7">
        <f>SUM(Z124:Z127)</f>
        <v>1096</v>
      </c>
      <c r="AA128" s="7">
        <f>SUM(AA124:AA127)</f>
        <v>1174</v>
      </c>
      <c r="AB128" s="7">
        <f>SUM(AB124:AB127)</f>
        <v>890</v>
      </c>
      <c r="AC128" s="7">
        <f t="shared" ref="AC128:AM128" si="282">SUM(AC124:AC127)</f>
        <v>1386</v>
      </c>
      <c r="AD128" s="7">
        <f t="shared" ca="1" si="282"/>
        <v>1952.6255161764605</v>
      </c>
      <c r="AE128" s="7">
        <f t="shared" ca="1" si="282"/>
        <v>2176.3923824303174</v>
      </c>
      <c r="AF128" s="7">
        <f t="shared" ca="1" si="282"/>
        <v>2361.2832124317024</v>
      </c>
      <c r="AG128" s="7">
        <f t="shared" ca="1" si="282"/>
        <v>2566.2113903419554</v>
      </c>
      <c r="AH128" s="7">
        <f t="shared" ca="1" si="282"/>
        <v>2802.1540184805658</v>
      </c>
      <c r="AI128" s="7">
        <f t="shared" ca="1" si="282"/>
        <v>3044.0494423889195</v>
      </c>
      <c r="AJ128" s="7">
        <f t="shared" ca="1" si="282"/>
        <v>3326.3896430004825</v>
      </c>
      <c r="AK128" s="7">
        <f t="shared" ca="1" si="282"/>
        <v>3620.0124149493217</v>
      </c>
      <c r="AL128" s="7">
        <f t="shared" ca="1" si="282"/>
        <v>3888.3329575423736</v>
      </c>
      <c r="AM128" s="7">
        <f t="shared" ca="1" si="282"/>
        <v>4167.6161913386486</v>
      </c>
      <c r="AN128" s="7">
        <f ca="1">SUM(AN124:AN127)</f>
        <v>4372.1457308478921</v>
      </c>
      <c r="AO128" s="39"/>
      <c r="AP128" s="160">
        <f ca="1">+(AM128/AC128)^(0.1)-1</f>
        <v>0.11638103118897258</v>
      </c>
      <c r="AQ128" s="160">
        <f t="shared" ref="AQ128" si="283">+(AC128/S128)^(1/10)-1</f>
        <v>0.29940395905247041</v>
      </c>
    </row>
    <row r="129" spans="1:44" outlineLevel="1"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219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6"/>
    </row>
    <row r="130" spans="1:44" s="3" customFormat="1" outlineLevel="1">
      <c r="A130" s="263"/>
      <c r="B130" s="263" t="s">
        <v>119</v>
      </c>
      <c r="C130" s="21"/>
      <c r="D130"/>
      <c r="E130" s="101" t="s">
        <v>119</v>
      </c>
      <c r="F130" s="21"/>
      <c r="G130" s="21"/>
      <c r="H130" s="137"/>
      <c r="I130" s="137"/>
      <c r="J130" s="137"/>
      <c r="K130" s="137"/>
      <c r="L130" s="137"/>
      <c r="M130" s="137"/>
      <c r="N130" s="137"/>
      <c r="O130" s="137"/>
      <c r="P130" s="137"/>
      <c r="Q130" s="161">
        <v>60.1</v>
      </c>
      <c r="R130" s="161">
        <v>60.454999999999998</v>
      </c>
      <c r="S130" s="161">
        <v>62.183999999999997</v>
      </c>
      <c r="T130" s="161">
        <v>82.96</v>
      </c>
      <c r="U130" s="161">
        <v>93.436000000000007</v>
      </c>
      <c r="V130" s="161">
        <v>97.489000000000004</v>
      </c>
      <c r="W130" s="161">
        <v>95.17</v>
      </c>
      <c r="X130" s="161">
        <v>87.216999999999999</v>
      </c>
      <c r="Y130" s="161">
        <v>84.599000000000004</v>
      </c>
      <c r="Z130" s="161">
        <v>82.652000000000001</v>
      </c>
      <c r="AA130" s="161">
        <v>77.340999999999994</v>
      </c>
      <c r="AB130" s="161">
        <v>72.658000000000001</v>
      </c>
      <c r="AC130" s="161">
        <v>72.432000000000002</v>
      </c>
      <c r="AD130" s="224">
        <f ca="1">AC130+AD164/((AD128*AD138)/AC130)</f>
        <v>69.219075789340124</v>
      </c>
      <c r="AE130" s="224">
        <f ca="1">AD130+AE164/((AE128*AE138)/AD130)</f>
        <v>66.714784296549524</v>
      </c>
      <c r="AF130" s="224">
        <f ca="1">AE130+AF164/((AF128*AF138)/AE130)</f>
        <v>64.490090285209078</v>
      </c>
      <c r="AG130" s="224">
        <f ca="1">AF130+AG164/((AG128*AG138)/AF130)</f>
        <v>62.511313367575475</v>
      </c>
      <c r="AH130" s="224">
        <f t="shared" ref="AH130:AN130" ca="1" si="284">AG130+AH164/((AH128*AH138)/AG130)</f>
        <v>59.876473904932453</v>
      </c>
      <c r="AI130" s="224">
        <f t="shared" ca="1" si="284"/>
        <v>57.553244729189984</v>
      </c>
      <c r="AJ130" s="224">
        <f t="shared" ca="1" si="284"/>
        <v>55.509699606770809</v>
      </c>
      <c r="AK130" s="224">
        <f t="shared" ca="1" si="284"/>
        <v>53.698583239874331</v>
      </c>
      <c r="AL130" s="224">
        <f t="shared" ca="1" si="284"/>
        <v>51.523751533358144</v>
      </c>
      <c r="AM130" s="224">
        <f t="shared" ca="1" si="284"/>
        <v>49.576840818237748</v>
      </c>
      <c r="AN130" s="224">
        <f t="shared" ca="1" si="284"/>
        <v>47.791132612831014</v>
      </c>
      <c r="AO130" s="6"/>
      <c r="AP130" s="288">
        <f ca="1">+AN130/AC130-1</f>
        <v>-0.34019311060262025</v>
      </c>
      <c r="AQ130"/>
    </row>
    <row r="131" spans="1:44" s="3" customFormat="1" outlineLevel="1">
      <c r="A131" s="263"/>
      <c r="B131" s="263" t="s">
        <v>120</v>
      </c>
      <c r="C131" s="21"/>
      <c r="D131"/>
      <c r="E131" s="101" t="s">
        <v>120</v>
      </c>
      <c r="F131" s="21"/>
      <c r="G131" s="21"/>
      <c r="H131" s="137"/>
      <c r="I131" s="137"/>
      <c r="J131" s="137"/>
      <c r="K131" s="137"/>
      <c r="L131" s="137"/>
      <c r="M131" s="137"/>
      <c r="N131" s="137"/>
      <c r="O131" s="137"/>
      <c r="P131" s="137"/>
      <c r="Q131" s="161">
        <v>60.1</v>
      </c>
      <c r="R131" s="161">
        <v>60.454999999999998</v>
      </c>
      <c r="S131" s="161">
        <v>73.349000000000004</v>
      </c>
      <c r="T131" s="161">
        <v>94.847999999999999</v>
      </c>
      <c r="U131" s="161">
        <v>106.291</v>
      </c>
      <c r="V131" s="161">
        <v>104.956</v>
      </c>
      <c r="W131" s="161">
        <v>96.379000000000005</v>
      </c>
      <c r="X131" s="161">
        <v>87.775000000000006</v>
      </c>
      <c r="Y131" s="161">
        <v>85.561999999999998</v>
      </c>
      <c r="Z131" s="161">
        <v>83.53</v>
      </c>
      <c r="AA131" s="161">
        <v>77.709999999999994</v>
      </c>
      <c r="AB131" s="161">
        <v>72.929000000000002</v>
      </c>
      <c r="AC131" s="161">
        <v>72.816999999999993</v>
      </c>
      <c r="AD131" s="224">
        <f ca="1">AC131+AD164/((AD128*AD138)/AC131)</f>
        <v>69.586998036121869</v>
      </c>
      <c r="AE131" s="224">
        <f t="shared" ref="AE131:AN131" ca="1" si="285">AD131+AE164/((AE128*AE138)/AD131)</f>
        <v>67.069395407027926</v>
      </c>
      <c r="AF131" s="224">
        <f t="shared" ca="1" si="285"/>
        <v>64.832876412332524</v>
      </c>
      <c r="AG131" s="224">
        <f t="shared" ca="1" si="285"/>
        <v>62.84358164190887</v>
      </c>
      <c r="AH131" s="224">
        <f t="shared" ca="1" si="285"/>
        <v>60.194737137390469</v>
      </c>
      <c r="AI131" s="224">
        <f t="shared" ca="1" si="285"/>
        <v>57.859159231353921</v>
      </c>
      <c r="AJ131" s="224">
        <f t="shared" ca="1" si="285"/>
        <v>55.80475199174716</v>
      </c>
      <c r="AK131" s="224">
        <f t="shared" ca="1" si="285"/>
        <v>53.98400894325615</v>
      </c>
      <c r="AL131" s="224">
        <f t="shared" ca="1" si="285"/>
        <v>51.797617288001717</v>
      </c>
      <c r="AM131" s="224">
        <f t="shared" ca="1" si="285"/>
        <v>49.840358099481143</v>
      </c>
      <c r="AN131" s="224">
        <f t="shared" ca="1" si="285"/>
        <v>48.045158265249007</v>
      </c>
      <c r="AO131" s="39"/>
    </row>
    <row r="132" spans="1:44" s="3" customFormat="1" outlineLevel="1">
      <c r="A132" s="263"/>
      <c r="B132" s="263"/>
      <c r="C132" s="21"/>
      <c r="D132"/>
      <c r="E132" s="101"/>
      <c r="F132" s="21"/>
      <c r="G132" s="21"/>
      <c r="H132" s="6"/>
      <c r="I132" s="6"/>
      <c r="J132" s="6"/>
      <c r="K132" s="6"/>
      <c r="L132" s="6"/>
      <c r="M132" s="6"/>
      <c r="N132" s="6"/>
      <c r="O132" s="6"/>
      <c r="P132" s="6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39"/>
    </row>
    <row r="133" spans="1:44" s="3" customFormat="1" outlineLevel="1">
      <c r="A133" s="263"/>
      <c r="B133" s="263"/>
      <c r="C133" s="21"/>
      <c r="D133"/>
      <c r="E133" t="s">
        <v>249</v>
      </c>
      <c r="F133" s="21"/>
      <c r="G133" s="21"/>
      <c r="H133" s="151"/>
      <c r="I133" s="151"/>
      <c r="J133" s="151"/>
      <c r="K133" s="151"/>
      <c r="L133" s="151"/>
      <c r="M133" s="151"/>
      <c r="N133" s="151"/>
      <c r="O133" s="151"/>
      <c r="P133" s="151"/>
      <c r="Q133" s="164">
        <v>7.45</v>
      </c>
      <c r="R133" s="164">
        <v>12.85</v>
      </c>
      <c r="S133" s="164">
        <v>24.89</v>
      </c>
      <c r="T133" s="164">
        <v>36.51</v>
      </c>
      <c r="U133" s="164">
        <v>56.36</v>
      </c>
      <c r="V133" s="164">
        <v>96.05</v>
      </c>
      <c r="W133" s="164">
        <v>82.51</v>
      </c>
      <c r="X133" s="164">
        <v>71.56</v>
      </c>
      <c r="Y133" s="164">
        <v>128.09</v>
      </c>
      <c r="Z133" s="164">
        <v>154.1</v>
      </c>
      <c r="AA133" s="164">
        <v>129.30000000000001</v>
      </c>
      <c r="AB133" s="164">
        <v>160.04</v>
      </c>
      <c r="AC133" s="164">
        <v>325.07</v>
      </c>
      <c r="AD133" s="43">
        <f>DCF!$B$18</f>
        <v>355.42</v>
      </c>
      <c r="AE133" s="43">
        <f>DCF!$B$18</f>
        <v>355.42</v>
      </c>
      <c r="AF133" s="43">
        <f>DCF!$B$18</f>
        <v>355.42</v>
      </c>
      <c r="AG133" s="43">
        <f>DCF!$B$18</f>
        <v>355.42</v>
      </c>
      <c r="AH133" s="43">
        <f>DCF!$B$18</f>
        <v>355.42</v>
      </c>
      <c r="AI133" s="43">
        <f>DCF!$B$18</f>
        <v>355.42</v>
      </c>
      <c r="AJ133" s="43">
        <f>DCF!$B$18</f>
        <v>355.42</v>
      </c>
      <c r="AK133" s="43">
        <f>DCF!$B$18</f>
        <v>355.42</v>
      </c>
      <c r="AL133" s="43">
        <f>DCF!$B$18</f>
        <v>355.42</v>
      </c>
      <c r="AM133" s="43">
        <f>DCF!$B$18</f>
        <v>355.42</v>
      </c>
      <c r="AN133" s="43">
        <f>DCF!$B$18</f>
        <v>355.42</v>
      </c>
      <c r="AO133" s="39"/>
    </row>
    <row r="134" spans="1:44" outlineLevel="1">
      <c r="A134" s="263" t="s">
        <v>134</v>
      </c>
      <c r="B134" s="263"/>
      <c r="E134" t="s">
        <v>80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>
        <f t="shared" ref="Q134" si="286">+Q131</f>
        <v>60.1</v>
      </c>
      <c r="R134" s="49">
        <f t="shared" ref="R134" si="287">+R131</f>
        <v>60.454999999999998</v>
      </c>
      <c r="S134" s="49">
        <f t="shared" ref="S134" si="288">+S131</f>
        <v>73.349000000000004</v>
      </c>
      <c r="T134" s="49">
        <f t="shared" ref="T134" si="289">+T131</f>
        <v>94.847999999999999</v>
      </c>
      <c r="U134" s="49">
        <f t="shared" ref="U134" si="290">+U131</f>
        <v>106.291</v>
      </c>
      <c r="V134" s="49">
        <f t="shared" ref="V134" si="291">+V131</f>
        <v>104.956</v>
      </c>
      <c r="W134" s="49">
        <f t="shared" ref="W134" si="292">+W131</f>
        <v>96.379000000000005</v>
      </c>
      <c r="X134" s="49">
        <f t="shared" ref="X134" si="293">+X131</f>
        <v>87.775000000000006</v>
      </c>
      <c r="Y134" s="49">
        <f t="shared" ref="Y134:Z134" si="294">+Y131</f>
        <v>85.561999999999998</v>
      </c>
      <c r="Z134" s="49">
        <f t="shared" si="294"/>
        <v>83.53</v>
      </c>
      <c r="AA134" s="49">
        <f t="shared" ref="AA134:AN134" si="295">+AA131</f>
        <v>77.709999999999994</v>
      </c>
      <c r="AB134" s="49">
        <f t="shared" si="295"/>
        <v>72.929000000000002</v>
      </c>
      <c r="AC134" s="49">
        <f t="shared" si="295"/>
        <v>72.816999999999993</v>
      </c>
      <c r="AD134" s="49">
        <f t="shared" ca="1" si="295"/>
        <v>69.586998036121869</v>
      </c>
      <c r="AE134" s="49">
        <f t="shared" ca="1" si="295"/>
        <v>67.069395407027926</v>
      </c>
      <c r="AF134" s="49">
        <f t="shared" ca="1" si="295"/>
        <v>64.832876412332524</v>
      </c>
      <c r="AG134" s="49">
        <f t="shared" ca="1" si="295"/>
        <v>62.84358164190887</v>
      </c>
      <c r="AH134" s="49">
        <f t="shared" ca="1" si="295"/>
        <v>60.194737137390469</v>
      </c>
      <c r="AI134" s="49">
        <f t="shared" ca="1" si="295"/>
        <v>57.859159231353921</v>
      </c>
      <c r="AJ134" s="49">
        <f t="shared" ca="1" si="295"/>
        <v>55.80475199174716</v>
      </c>
      <c r="AK134" s="49">
        <f t="shared" ca="1" si="295"/>
        <v>53.98400894325615</v>
      </c>
      <c r="AL134" s="49">
        <f t="shared" ca="1" si="295"/>
        <v>51.797617288001717</v>
      </c>
      <c r="AM134" s="49">
        <f t="shared" ca="1" si="295"/>
        <v>49.840358099481143</v>
      </c>
      <c r="AN134" s="49">
        <f t="shared" ca="1" si="295"/>
        <v>48.045158265249007</v>
      </c>
      <c r="AO134" s="6"/>
      <c r="AP134" s="50"/>
      <c r="AQ134" s="115"/>
    </row>
    <row r="135" spans="1:44" outlineLevel="1">
      <c r="A135" s="263" t="s">
        <v>21</v>
      </c>
      <c r="B135" s="263"/>
      <c r="E135" s="3" t="s">
        <v>81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>
        <f t="shared" ref="Q135" si="296">+Q128/Q134</f>
        <v>-0.48252911813643928</v>
      </c>
      <c r="R135" s="59">
        <f t="shared" ref="R135" si="297">+R128/R134</f>
        <v>-0.36390703829294518</v>
      </c>
      <c r="S135" s="59">
        <f t="shared" ref="S135" si="298">+S128/S134</f>
        <v>1.3769785545815212</v>
      </c>
      <c r="T135" s="59">
        <f t="shared" ref="T135" si="299">+T128/T134</f>
        <v>0.79073886639676116</v>
      </c>
      <c r="U135" s="59">
        <f t="shared" ref="U135" si="300">+U128/U134</f>
        <v>3.6409479636093369</v>
      </c>
      <c r="V135" s="59">
        <f t="shared" ref="V135" si="301">+V128/V134</f>
        <v>5.1450131483669344</v>
      </c>
      <c r="W135" s="59">
        <f t="shared" ref="W135" si="302">+W128/W134</f>
        <v>6.069786986791728</v>
      </c>
      <c r="X135" s="59">
        <f t="shared" ref="X135" si="303">+X128/X134</f>
        <v>6.4483053261179144</v>
      </c>
      <c r="Y135" s="59">
        <f t="shared" ref="Y135:Z135" si="304">+Y128/Y134</f>
        <v>15.73128257871485</v>
      </c>
      <c r="Z135" s="59">
        <f t="shared" si="304"/>
        <v>13.121034358912965</v>
      </c>
      <c r="AA135" s="59">
        <f t="shared" ref="AA135:AN135" si="305">+AA128/AA134</f>
        <v>15.107450778535583</v>
      </c>
      <c r="AB135" s="59">
        <f t="shared" si="305"/>
        <v>12.203650125464492</v>
      </c>
      <c r="AC135" s="59">
        <f t="shared" si="305"/>
        <v>19.034016781795462</v>
      </c>
      <c r="AD135" s="59">
        <f t="shared" ca="1" si="305"/>
        <v>28.06020623511986</v>
      </c>
      <c r="AE135" s="59">
        <f t="shared" ca="1" si="305"/>
        <v>32.449858377614987</v>
      </c>
      <c r="AF135" s="59">
        <f t="shared" ca="1" si="305"/>
        <v>36.421077439385961</v>
      </c>
      <c r="AG135" s="59">
        <f t="shared" ca="1" si="305"/>
        <v>40.83490029203891</v>
      </c>
      <c r="AH135" s="59">
        <f t="shared" ca="1" si="305"/>
        <v>46.55147861323551</v>
      </c>
      <c r="AI135" s="59">
        <f t="shared" ca="1" si="305"/>
        <v>52.611366684695042</v>
      </c>
      <c r="AJ135" s="59">
        <f t="shared" ca="1" si="305"/>
        <v>59.607641361660647</v>
      </c>
      <c r="AK135" s="59">
        <f t="shared" ca="1" si="305"/>
        <v>67.057124615446796</v>
      </c>
      <c r="AL135" s="59">
        <f t="shared" ca="1" si="305"/>
        <v>75.067795800774377</v>
      </c>
      <c r="AM135" s="59">
        <f t="shared" ca="1" si="305"/>
        <v>83.619306727694536</v>
      </c>
      <c r="AN135" s="59">
        <f t="shared" ca="1" si="305"/>
        <v>91.000756136758497</v>
      </c>
      <c r="AO135" s="31"/>
      <c r="AP135" s="160">
        <f ca="1">+(AM135/AC135)^(0.1)-1</f>
        <v>0.15951831128021987</v>
      </c>
      <c r="AQ135" s="160">
        <f t="shared" ref="AQ135" si="306">+(AC135/S135)^(1/10)-1</f>
        <v>0.30035019501452265</v>
      </c>
    </row>
    <row r="136" spans="1:44" outlineLevel="1">
      <c r="A136" s="263" t="s">
        <v>135</v>
      </c>
      <c r="B136" s="263"/>
      <c r="E136" t="s">
        <v>82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 t="str">
        <f t="shared" ref="Q136:Z136" si="307">IFERROR(Q135/P135-1,"na")</f>
        <v>na</v>
      </c>
      <c r="R136" s="60">
        <f t="shared" si="307"/>
        <v>-0.24583403443427565</v>
      </c>
      <c r="S136" s="60">
        <f t="shared" si="307"/>
        <v>-4.7838744780557203</v>
      </c>
      <c r="T136" s="60">
        <f t="shared" si="307"/>
        <v>-0.42574351374914821</v>
      </c>
      <c r="U136" s="60">
        <f t="shared" si="307"/>
        <v>3.6044884326989113</v>
      </c>
      <c r="V136" s="60">
        <f t="shared" si="307"/>
        <v>0.41309713838002526</v>
      </c>
      <c r="W136" s="60">
        <f t="shared" si="307"/>
        <v>0.17974178330687529</v>
      </c>
      <c r="X136" s="60">
        <f t="shared" si="307"/>
        <v>6.2361058163963312E-2</v>
      </c>
      <c r="Y136" s="60">
        <f t="shared" si="307"/>
        <v>1.4395995200471665</v>
      </c>
      <c r="Z136" s="60">
        <f t="shared" si="307"/>
        <v>-0.16592723490541528</v>
      </c>
      <c r="AA136" s="60">
        <f t="shared" ref="AA136:AN136" si="308">IFERROR(AA135/Z135-1,"na")</f>
        <v>0.15139175504660329</v>
      </c>
      <c r="AB136" s="60">
        <f t="shared" si="308"/>
        <v>-0.19220983709553185</v>
      </c>
      <c r="AC136" s="60">
        <f t="shared" si="308"/>
        <v>0.55969866278602387</v>
      </c>
      <c r="AD136" s="60">
        <f t="shared" ca="1" si="308"/>
        <v>0.47421359121408568</v>
      </c>
      <c r="AE136" s="60">
        <f t="shared" ca="1" si="308"/>
        <v>0.15643691659689529</v>
      </c>
      <c r="AF136" s="60">
        <f t="shared" ca="1" si="308"/>
        <v>0.12238016621084724</v>
      </c>
      <c r="AG136" s="60">
        <f t="shared" ca="1" si="308"/>
        <v>0.12118869519987929</v>
      </c>
      <c r="AH136" s="60">
        <f t="shared" ca="1" si="308"/>
        <v>0.1399924642967989</v>
      </c>
      <c r="AI136" s="60">
        <f t="shared" ca="1" si="308"/>
        <v>0.13017605996593606</v>
      </c>
      <c r="AJ136" s="60">
        <f t="shared" ca="1" si="308"/>
        <v>0.13298028767994086</v>
      </c>
      <c r="AK136" s="60">
        <f t="shared" ca="1" si="308"/>
        <v>0.12497530658170986</v>
      </c>
      <c r="AL136" s="60">
        <f t="shared" ca="1" si="308"/>
        <v>0.11946040381639489</v>
      </c>
      <c r="AM136" s="60">
        <f t="shared" ca="1" si="308"/>
        <v>0.1139171709479172</v>
      </c>
      <c r="AN136" s="60">
        <f t="shared" ca="1" si="308"/>
        <v>8.8274463134471848E-2</v>
      </c>
      <c r="AO136" s="31"/>
      <c r="AP136" s="32"/>
    </row>
    <row r="137" spans="1:44" outlineLevel="1">
      <c r="A137" s="263"/>
      <c r="B137" s="263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31"/>
      <c r="AP137" s="32"/>
    </row>
    <row r="138" spans="1:44" outlineLevel="1">
      <c r="A138" s="263"/>
      <c r="B138" s="263"/>
      <c r="E138" s="21" t="s">
        <v>328</v>
      </c>
      <c r="F138" s="21"/>
      <c r="G138" s="21"/>
      <c r="H138" s="220" t="e">
        <f t="shared" ref="H138:P138" si="309">+H139/H43</f>
        <v>#DIV/0!</v>
      </c>
      <c r="I138" s="220" t="e">
        <f t="shared" si="309"/>
        <v>#DIV/0!</v>
      </c>
      <c r="J138" s="220" t="e">
        <f t="shared" si="309"/>
        <v>#DIV/0!</v>
      </c>
      <c r="K138" s="220" t="e">
        <f t="shared" si="309"/>
        <v>#DIV/0!</v>
      </c>
      <c r="L138" s="220" t="e">
        <f t="shared" si="309"/>
        <v>#DIV/0!</v>
      </c>
      <c r="M138" s="220" t="e">
        <f t="shared" si="309"/>
        <v>#DIV/0!</v>
      </c>
      <c r="N138" s="220" t="e">
        <f t="shared" si="309"/>
        <v>#DIV/0!</v>
      </c>
      <c r="O138" s="220" t="e">
        <f t="shared" si="309"/>
        <v>#DIV/0!</v>
      </c>
      <c r="P138" s="220" t="e">
        <f t="shared" si="309"/>
        <v>#DIV/0!</v>
      </c>
      <c r="Q138" s="220">
        <f t="shared" ref="Q138:AB138" si="310">+Q133/Q135</f>
        <v>-15.43948275862069</v>
      </c>
      <c r="R138" s="220">
        <f t="shared" si="310"/>
        <v>-35.311215909090905</v>
      </c>
      <c r="S138" s="220">
        <f t="shared" si="310"/>
        <v>18.075808019801983</v>
      </c>
      <c r="T138" s="220">
        <f t="shared" si="310"/>
        <v>46.172006399999994</v>
      </c>
      <c r="U138" s="220">
        <f t="shared" si="310"/>
        <v>15.479485167958655</v>
      </c>
      <c r="V138" s="220">
        <f t="shared" si="310"/>
        <v>18.668562592592593</v>
      </c>
      <c r="W138" s="220">
        <f t="shared" si="310"/>
        <v>13.593557760683762</v>
      </c>
      <c r="X138" s="220">
        <f t="shared" si="310"/>
        <v>11.097489399293288</v>
      </c>
      <c r="Y138" s="220">
        <f t="shared" si="310"/>
        <v>8.1423748736998522</v>
      </c>
      <c r="Z138" s="220">
        <f t="shared" si="310"/>
        <v>11.744500912408759</v>
      </c>
      <c r="AA138" s="220">
        <f t="shared" si="310"/>
        <v>8.5586908006814308</v>
      </c>
      <c r="AB138" s="220">
        <f t="shared" si="310"/>
        <v>13.114109168539326</v>
      </c>
      <c r="AC138" s="220">
        <f>+AC133/AC135</f>
        <v>17.078370988455987</v>
      </c>
      <c r="AD138" s="278">
        <v>12.7</v>
      </c>
      <c r="AE138" s="278">
        <v>12.7</v>
      </c>
      <c r="AF138" s="278">
        <v>12.7</v>
      </c>
      <c r="AG138" s="278">
        <v>12.7</v>
      </c>
      <c r="AH138" s="278">
        <v>12.7</v>
      </c>
      <c r="AI138" s="278">
        <v>12.7</v>
      </c>
      <c r="AJ138" s="278">
        <v>12.7</v>
      </c>
      <c r="AK138" s="278">
        <v>12.7</v>
      </c>
      <c r="AL138" s="278">
        <v>12.7</v>
      </c>
      <c r="AM138" s="278">
        <v>12.7</v>
      </c>
      <c r="AN138" s="278">
        <v>12.7</v>
      </c>
      <c r="AO138" s="31"/>
      <c r="AP138" s="32"/>
    </row>
    <row r="139" spans="1:44" outlineLevel="1">
      <c r="A139" s="263"/>
      <c r="B139" s="263"/>
      <c r="E139" s="21" t="s">
        <v>329</v>
      </c>
      <c r="F139" s="21"/>
      <c r="G139" s="21"/>
      <c r="H139" s="221">
        <v>42.83</v>
      </c>
      <c r="I139" s="221">
        <v>38.43</v>
      </c>
      <c r="J139" s="221">
        <v>40.01</v>
      </c>
      <c r="K139" s="221">
        <v>32.56</v>
      </c>
      <c r="L139" s="221">
        <v>37.17</v>
      </c>
      <c r="M139" s="221">
        <v>45.42</v>
      </c>
      <c r="N139" s="221">
        <v>51.66</v>
      </c>
      <c r="O139" s="221">
        <v>55.68</v>
      </c>
      <c r="P139" s="221">
        <v>66.75</v>
      </c>
      <c r="Q139" s="221"/>
      <c r="R139" s="221"/>
      <c r="S139" s="221"/>
      <c r="T139" s="221"/>
      <c r="U139" s="221"/>
      <c r="V139" s="221"/>
      <c r="W139" s="221"/>
      <c r="X139" s="221"/>
      <c r="Y139" s="223"/>
      <c r="Z139" s="223"/>
      <c r="AA139" s="223"/>
      <c r="AB139" s="223"/>
      <c r="AC139" s="223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31"/>
      <c r="AP139" s="32"/>
    </row>
    <row r="140" spans="1:44" outlineLevel="1">
      <c r="A140" s="263"/>
      <c r="B140" s="263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31"/>
      <c r="AP140" s="32"/>
    </row>
    <row r="141" spans="1:44"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"/>
    </row>
    <row r="142" spans="1:44">
      <c r="D142" s="258"/>
      <c r="E142" s="259" t="s">
        <v>83</v>
      </c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71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R142" s="216"/>
    </row>
    <row r="143" spans="1:44" ht="5.0999999999999996" customHeight="1">
      <c r="C143" s="95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6"/>
      <c r="AP143" s="1"/>
    </row>
    <row r="144" spans="1:44" outlineLevel="1">
      <c r="E144" t="s">
        <v>74</v>
      </c>
      <c r="H144" s="6"/>
      <c r="I144" s="6"/>
      <c r="J144" s="6"/>
      <c r="K144" s="6"/>
      <c r="L144" s="6"/>
      <c r="M144" s="6"/>
      <c r="N144" s="6"/>
      <c r="O144" s="6"/>
      <c r="P144" s="6"/>
      <c r="Q144" s="6">
        <f t="shared" ref="Q144" si="311">+Q124</f>
        <v>-29</v>
      </c>
      <c r="R144" s="6">
        <f t="shared" ref="R144:S144" si="312">+R124</f>
        <v>-22</v>
      </c>
      <c r="S144" s="6">
        <f t="shared" si="312"/>
        <v>101</v>
      </c>
      <c r="T144" s="6">
        <f t="shared" ref="T144" si="313">+T124</f>
        <v>75</v>
      </c>
      <c r="U144" s="6">
        <f t="shared" ref="U144" si="314">+U124</f>
        <v>387</v>
      </c>
      <c r="V144" s="6">
        <f t="shared" ref="V144" si="315">+V124</f>
        <v>540</v>
      </c>
      <c r="W144" s="6">
        <f t="shared" ref="W144" si="316">+W124</f>
        <v>585</v>
      </c>
      <c r="X144" s="6">
        <f t="shared" ref="X144" si="317">+X124</f>
        <v>566</v>
      </c>
      <c r="Y144" s="6">
        <f t="shared" ref="Y144:Z144" si="318">+Y124</f>
        <v>1346</v>
      </c>
      <c r="Z144" s="6">
        <f t="shared" si="318"/>
        <v>1096</v>
      </c>
      <c r="AA144" s="6">
        <f t="shared" ref="AA144:AN144" si="319">+AA124</f>
        <v>1174</v>
      </c>
      <c r="AB144" s="6">
        <f t="shared" si="319"/>
        <v>890</v>
      </c>
      <c r="AC144" s="6">
        <f t="shared" si="319"/>
        <v>1386</v>
      </c>
      <c r="AD144" s="6">
        <f t="shared" ca="1" si="319"/>
        <v>1952.6255161764605</v>
      </c>
      <c r="AE144" s="6">
        <f t="shared" ca="1" si="319"/>
        <v>2176.3923824303174</v>
      </c>
      <c r="AF144" s="6">
        <f t="shared" ca="1" si="319"/>
        <v>2361.2832124317024</v>
      </c>
      <c r="AG144" s="6">
        <f t="shared" ca="1" si="319"/>
        <v>2566.2113903419554</v>
      </c>
      <c r="AH144" s="6">
        <f t="shared" ca="1" si="319"/>
        <v>2802.1540184805658</v>
      </c>
      <c r="AI144" s="6">
        <f t="shared" ca="1" si="319"/>
        <v>3044.0494423889195</v>
      </c>
      <c r="AJ144" s="6">
        <f t="shared" ca="1" si="319"/>
        <v>3326.3896430004825</v>
      </c>
      <c r="AK144" s="6">
        <f t="shared" ca="1" si="319"/>
        <v>3620.0124149493217</v>
      </c>
      <c r="AL144" s="6">
        <f t="shared" ca="1" si="319"/>
        <v>3888.3329575423736</v>
      </c>
      <c r="AM144" s="6">
        <f t="shared" ca="1" si="319"/>
        <v>4167.6161913386486</v>
      </c>
      <c r="AN144" s="6">
        <f t="shared" ca="1" si="319"/>
        <v>4372.1457308478921</v>
      </c>
      <c r="AO144" s="6"/>
    </row>
    <row r="145" spans="1:48" outlineLevel="1">
      <c r="E145" s="45" t="s">
        <v>4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f t="shared" ref="Q145" si="320">+Q12+Q15</f>
        <v>474</v>
      </c>
      <c r="R145" s="6">
        <f t="shared" ref="R145:S145" si="321">+R12+R15</f>
        <v>449</v>
      </c>
      <c r="S145" s="6">
        <f t="shared" si="321"/>
        <v>480</v>
      </c>
      <c r="T145" s="6">
        <f t="shared" ref="T145" si="322">+T12+T15</f>
        <v>897</v>
      </c>
      <c r="U145" s="6">
        <f t="shared" ref="U145" si="323">+U12+U15</f>
        <v>1098</v>
      </c>
      <c r="V145" s="6">
        <f t="shared" ref="V145" si="324">+V12+V15</f>
        <v>1194</v>
      </c>
      <c r="W145" s="6">
        <f t="shared" ref="W145" si="325">+W12+W15</f>
        <v>1244</v>
      </c>
      <c r="X145" s="6">
        <f t="shared" ref="X145" si="326">+X12+X15</f>
        <v>1245</v>
      </c>
      <c r="Y145" s="6">
        <f t="shared" ref="Y145:AN145" si="327">+Y12+Y15</f>
        <v>1383</v>
      </c>
      <c r="Z145" s="6">
        <f t="shared" si="327"/>
        <v>1671</v>
      </c>
      <c r="AA145" s="6">
        <f t="shared" si="327"/>
        <v>2038</v>
      </c>
      <c r="AB145" s="6">
        <f t="shared" si="327"/>
        <v>1988</v>
      </c>
      <c r="AC145" s="6">
        <f t="shared" si="327"/>
        <v>1983</v>
      </c>
      <c r="AD145" s="47">
        <f t="shared" si="327"/>
        <v>2161.811960675368</v>
      </c>
      <c r="AE145" s="47">
        <f t="shared" si="327"/>
        <v>2605.2888523794586</v>
      </c>
      <c r="AF145" s="47">
        <f t="shared" ca="1" si="327"/>
        <v>2705.6970824449963</v>
      </c>
      <c r="AG145" s="47">
        <f t="shared" ca="1" si="327"/>
        <v>2824.1058723249148</v>
      </c>
      <c r="AH145" s="47">
        <f t="shared" ca="1" si="327"/>
        <v>2956.8590951226702</v>
      </c>
      <c r="AI145" s="47">
        <f t="shared" ca="1" si="327"/>
        <v>3107.1022419815799</v>
      </c>
      <c r="AJ145" s="47">
        <f t="shared" ca="1" si="327"/>
        <v>3272.0561961158915</v>
      </c>
      <c r="AK145" s="47">
        <f t="shared" ca="1" si="327"/>
        <v>3456.3376178473372</v>
      </c>
      <c r="AL145" s="47">
        <f t="shared" ca="1" si="327"/>
        <v>3657.7461128889263</v>
      </c>
      <c r="AM145" s="47">
        <f t="shared" ca="1" si="327"/>
        <v>3866.7204450333093</v>
      </c>
      <c r="AN145" s="47">
        <f t="shared" ca="1" si="327"/>
        <v>4082.335259958697</v>
      </c>
      <c r="AO145" s="6"/>
    </row>
    <row r="146" spans="1:48" outlineLevel="1">
      <c r="E146" s="45" t="s">
        <v>169</v>
      </c>
      <c r="H146" s="6"/>
      <c r="I146" s="6"/>
      <c r="J146" s="6"/>
      <c r="K146" s="6"/>
      <c r="L146" s="6"/>
      <c r="M146" s="6"/>
      <c r="N146" s="6"/>
      <c r="O146" s="6"/>
      <c r="P146" s="6"/>
      <c r="Q146" s="6">
        <f t="shared" ref="Q146" si="328">-Q112</f>
        <v>0</v>
      </c>
      <c r="R146" s="6">
        <f t="shared" ref="R146:S146" si="329">-R112</f>
        <v>0</v>
      </c>
      <c r="S146" s="6">
        <f t="shared" si="329"/>
        <v>0</v>
      </c>
      <c r="T146" s="6">
        <f t="shared" ref="T146" si="330">-T112</f>
        <v>0</v>
      </c>
      <c r="U146" s="6">
        <f t="shared" ref="U146" si="331">-U112</f>
        <v>0</v>
      </c>
      <c r="V146" s="6">
        <f t="shared" ref="V146" si="332">-V112</f>
        <v>0</v>
      </c>
      <c r="W146" s="6">
        <f t="shared" ref="W146" si="333">-W112</f>
        <v>0</v>
      </c>
      <c r="X146" s="6">
        <f t="shared" ref="X146" si="334">-X112</f>
        <v>0</v>
      </c>
      <c r="Y146" s="6">
        <f t="shared" ref="Y146:Z146" si="335">-Y112</f>
        <v>0</v>
      </c>
      <c r="Z146" s="6">
        <f t="shared" si="335"/>
        <v>0</v>
      </c>
      <c r="AA146" s="6">
        <f t="shared" ref="AA146:AN146" si="336">-AA112</f>
        <v>0</v>
      </c>
      <c r="AB146" s="6">
        <f t="shared" si="336"/>
        <v>0</v>
      </c>
      <c r="AC146" s="6">
        <f t="shared" si="336"/>
        <v>0</v>
      </c>
      <c r="AD146" s="6">
        <f t="shared" si="336"/>
        <v>0</v>
      </c>
      <c r="AE146" s="6">
        <f t="shared" si="336"/>
        <v>0</v>
      </c>
      <c r="AF146" s="6">
        <f t="shared" si="336"/>
        <v>0</v>
      </c>
      <c r="AG146" s="6">
        <f t="shared" si="336"/>
        <v>0</v>
      </c>
      <c r="AH146" s="6">
        <f t="shared" si="336"/>
        <v>0</v>
      </c>
      <c r="AI146" s="6">
        <f t="shared" si="336"/>
        <v>0</v>
      </c>
      <c r="AJ146" s="6">
        <f t="shared" si="336"/>
        <v>0</v>
      </c>
      <c r="AK146" s="6">
        <f t="shared" si="336"/>
        <v>0</v>
      </c>
      <c r="AL146" s="6">
        <f t="shared" si="336"/>
        <v>0</v>
      </c>
      <c r="AM146" s="6">
        <f t="shared" si="336"/>
        <v>0</v>
      </c>
      <c r="AN146" s="6">
        <f t="shared" si="336"/>
        <v>0</v>
      </c>
      <c r="AO146" s="6"/>
    </row>
    <row r="147" spans="1:48" outlineLevel="1">
      <c r="A147" s="263" t="s">
        <v>84</v>
      </c>
      <c r="B147" s="263"/>
      <c r="E147" s="45" t="s">
        <v>84</v>
      </c>
      <c r="H147" s="53"/>
      <c r="I147" s="53"/>
      <c r="J147" s="53"/>
      <c r="K147" s="53"/>
      <c r="L147" s="53"/>
      <c r="M147" s="53"/>
      <c r="N147" s="53"/>
      <c r="O147" s="53"/>
      <c r="P147" s="53"/>
      <c r="Q147" s="6">
        <f t="shared" ref="Q147" si="337">-Q121</f>
        <v>4</v>
      </c>
      <c r="R147" s="6">
        <f t="shared" ref="R147:S147" si="338">-R121</f>
        <v>-58</v>
      </c>
      <c r="S147" s="6">
        <f t="shared" si="338"/>
        <v>39</v>
      </c>
      <c r="T147" s="6">
        <f t="shared" ref="T147" si="339">-T121</f>
        <v>-16</v>
      </c>
      <c r="U147" s="6">
        <f t="shared" ref="U147" si="340">-U121</f>
        <v>167</v>
      </c>
      <c r="V147" s="6">
        <f t="shared" ref="V147" si="341">-V121</f>
        <v>261</v>
      </c>
      <c r="W147" s="6">
        <f t="shared" ref="W147" si="342">-W121</f>
        <v>336</v>
      </c>
      <c r="X147" s="6">
        <f t="shared" ref="X147" si="343">-X121</f>
        <v>123</v>
      </c>
      <c r="Y147" s="6">
        <f t="shared" ref="Y147:Z147" si="344">-Y121</f>
        <v>-533</v>
      </c>
      <c r="Z147" s="6">
        <f t="shared" si="344"/>
        <v>257</v>
      </c>
      <c r="AA147" s="6">
        <f t="shared" ref="AA147:AN147" si="345">-AA121</f>
        <v>204</v>
      </c>
      <c r="AB147" s="6">
        <f t="shared" si="345"/>
        <v>-121</v>
      </c>
      <c r="AC147" s="6">
        <f t="shared" si="345"/>
        <v>268</v>
      </c>
      <c r="AD147" s="6">
        <f t="shared" ca="1" si="345"/>
        <v>231.23196902089663</v>
      </c>
      <c r="AE147" s="6">
        <f t="shared" ca="1" si="345"/>
        <v>435.27847648606343</v>
      </c>
      <c r="AF147" s="6">
        <f t="shared" ca="1" si="345"/>
        <v>377.80531398907243</v>
      </c>
      <c r="AG147" s="6">
        <f t="shared" ca="1" si="345"/>
        <v>307.94536684103463</v>
      </c>
      <c r="AH147" s="6">
        <f t="shared" ca="1" si="345"/>
        <v>224.17232147844527</v>
      </c>
      <c r="AI147" s="6">
        <f t="shared" ca="1" si="345"/>
        <v>121.76197769555677</v>
      </c>
      <c r="AJ147" s="6">
        <f t="shared" ca="1" si="345"/>
        <v>0</v>
      </c>
      <c r="AK147" s="6">
        <f t="shared" ca="1" si="345"/>
        <v>0</v>
      </c>
      <c r="AL147" s="6">
        <f t="shared" ca="1" si="345"/>
        <v>0</v>
      </c>
      <c r="AM147" s="6">
        <f t="shared" ca="1" si="345"/>
        <v>0</v>
      </c>
      <c r="AN147" s="6">
        <f t="shared" ca="1" si="345"/>
        <v>0</v>
      </c>
      <c r="AO147" s="6"/>
    </row>
    <row r="148" spans="1:48" outlineLevel="1">
      <c r="B148" s="262" t="s">
        <v>248</v>
      </c>
      <c r="E148" s="45" t="s">
        <v>85</v>
      </c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61">
        <v>12</v>
      </c>
      <c r="T148" s="161">
        <v>32</v>
      </c>
      <c r="U148" s="161">
        <v>46</v>
      </c>
      <c r="V148" s="161">
        <v>74</v>
      </c>
      <c r="W148" s="161">
        <v>49</v>
      </c>
      <c r="X148" s="161">
        <v>45</v>
      </c>
      <c r="Y148" s="161">
        <v>87</v>
      </c>
      <c r="Z148" s="161">
        <v>102</v>
      </c>
      <c r="AA148" s="161">
        <v>61</v>
      </c>
      <c r="AB148" s="161">
        <v>70</v>
      </c>
      <c r="AC148" s="161">
        <v>119</v>
      </c>
      <c r="AD148" s="132">
        <v>0</v>
      </c>
      <c r="AE148" s="132">
        <f t="shared" ref="AE148:AN148" si="346">+AD148*1.01</f>
        <v>0</v>
      </c>
      <c r="AF148" s="132">
        <f t="shared" si="346"/>
        <v>0</v>
      </c>
      <c r="AG148" s="132">
        <f t="shared" si="346"/>
        <v>0</v>
      </c>
      <c r="AH148" s="132">
        <f t="shared" si="346"/>
        <v>0</v>
      </c>
      <c r="AI148" s="132">
        <f t="shared" si="346"/>
        <v>0</v>
      </c>
      <c r="AJ148" s="132">
        <f t="shared" si="346"/>
        <v>0</v>
      </c>
      <c r="AK148" s="132">
        <f t="shared" si="346"/>
        <v>0</v>
      </c>
      <c r="AL148" s="132">
        <f t="shared" si="346"/>
        <v>0</v>
      </c>
      <c r="AM148" s="132">
        <f t="shared" si="346"/>
        <v>0</v>
      </c>
      <c r="AN148" s="132">
        <f t="shared" si="346"/>
        <v>0</v>
      </c>
      <c r="AO148" s="6"/>
    </row>
    <row r="149" spans="1:48" outlineLevel="1">
      <c r="B149" s="262" t="s">
        <v>250</v>
      </c>
      <c r="E149" s="45" t="s">
        <v>86</v>
      </c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61">
        <f>22-66-2+19+19+3+2</f>
        <v>-3</v>
      </c>
      <c r="T149" s="161">
        <f>23-2-8+111+99+72-125</f>
        <v>170</v>
      </c>
      <c r="U149" s="161">
        <v>0</v>
      </c>
      <c r="V149" s="161">
        <f>17-229-11+11-1+80</f>
        <v>-133</v>
      </c>
      <c r="W149" s="161">
        <f>10-227-8-26+6+123-5</f>
        <v>-127</v>
      </c>
      <c r="X149" s="161">
        <f>9-204-4+14+101-58</f>
        <v>-142</v>
      </c>
      <c r="Y149" s="161">
        <f>9-220-4-21+50+50+54</f>
        <v>-82</v>
      </c>
      <c r="Z149" s="161">
        <f>12-278-6-22+36+31</f>
        <v>-227</v>
      </c>
      <c r="AA149" s="161">
        <f>15-313-6-24+1+18+61</f>
        <v>-248</v>
      </c>
      <c r="AB149" s="161">
        <f>14-332-8-40+17+183</f>
        <v>-166</v>
      </c>
      <c r="AC149" s="161">
        <f>13-431-10-25+3+2+30</f>
        <v>-418</v>
      </c>
      <c r="AD149" s="132">
        <f>-AD80</f>
        <v>-375</v>
      </c>
      <c r="AE149" s="132">
        <f t="shared" ref="AE149:AN149" si="347">-AE80</f>
        <v>-294.36189750000005</v>
      </c>
      <c r="AF149" s="132">
        <f t="shared" si="347"/>
        <v>-303.19275442500003</v>
      </c>
      <c r="AG149" s="132">
        <f t="shared" si="347"/>
        <v>-312.28853705775009</v>
      </c>
      <c r="AH149" s="132">
        <f t="shared" si="347"/>
        <v>-321.65719316948264</v>
      </c>
      <c r="AI149" s="132">
        <f t="shared" si="347"/>
        <v>-331.30690896456713</v>
      </c>
      <c r="AJ149" s="132">
        <f t="shared" si="347"/>
        <v>-341.24611623350404</v>
      </c>
      <c r="AK149" s="132">
        <f t="shared" si="347"/>
        <v>-351.48349972050914</v>
      </c>
      <c r="AL149" s="132">
        <f t="shared" si="347"/>
        <v>-362.02800471212447</v>
      </c>
      <c r="AM149" s="132">
        <f t="shared" si="347"/>
        <v>-372.88884485348819</v>
      </c>
      <c r="AN149" s="132">
        <f t="shared" si="347"/>
        <v>-384.07551019909283</v>
      </c>
      <c r="AO149" s="6"/>
      <c r="AS149" s="132"/>
    </row>
    <row r="150" spans="1:48" s="3" customFormat="1" outlineLevel="1">
      <c r="A150" s="263"/>
      <c r="B150" s="263"/>
      <c r="C150" s="96"/>
      <c r="E150" s="2" t="s">
        <v>155</v>
      </c>
      <c r="F150" s="2"/>
      <c r="G150" s="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>
        <f t="shared" ref="S150:Y150" si="348">SUM(S144:S149)</f>
        <v>629</v>
      </c>
      <c r="T150" s="7">
        <f t="shared" si="348"/>
        <v>1158</v>
      </c>
      <c r="U150" s="7">
        <f t="shared" si="348"/>
        <v>1698</v>
      </c>
      <c r="V150" s="7">
        <f t="shared" si="348"/>
        <v>1936</v>
      </c>
      <c r="W150" s="7">
        <f t="shared" si="348"/>
        <v>2087</v>
      </c>
      <c r="X150" s="7">
        <f t="shared" si="348"/>
        <v>1837</v>
      </c>
      <c r="Y150" s="7">
        <f t="shared" si="348"/>
        <v>2201</v>
      </c>
      <c r="Z150" s="7">
        <f t="shared" ref="Z150" si="349">SUM(Z144:Z149)</f>
        <v>2899</v>
      </c>
      <c r="AA150" s="7">
        <f t="shared" ref="AA150:AN150" si="350">SUM(AA144:AA149)</f>
        <v>3229</v>
      </c>
      <c r="AB150" s="7">
        <f t="shared" si="350"/>
        <v>2661</v>
      </c>
      <c r="AC150" s="7">
        <f t="shared" si="350"/>
        <v>3338</v>
      </c>
      <c r="AD150" s="7">
        <f t="shared" ref="AD150" ca="1" si="351">SUM(AD144:AD149)</f>
        <v>3970.6694458727252</v>
      </c>
      <c r="AE150" s="7">
        <f t="shared" ref="AE150" ca="1" si="352">SUM(AE144:AE149)</f>
        <v>4922.5978137958391</v>
      </c>
      <c r="AF150" s="7">
        <f t="shared" ca="1" si="350"/>
        <v>5141.5928544407716</v>
      </c>
      <c r="AG150" s="7">
        <f t="shared" ca="1" si="350"/>
        <v>5385.9740924501548</v>
      </c>
      <c r="AH150" s="7">
        <f t="shared" ca="1" si="350"/>
        <v>5661.5282419121986</v>
      </c>
      <c r="AI150" s="7">
        <f t="shared" ca="1" si="350"/>
        <v>5941.6067531014896</v>
      </c>
      <c r="AJ150" s="7">
        <f t="shared" ca="1" si="350"/>
        <v>6257.1997228828695</v>
      </c>
      <c r="AK150" s="7">
        <f t="shared" ca="1" si="350"/>
        <v>6724.8665330761505</v>
      </c>
      <c r="AL150" s="7">
        <f t="shared" ca="1" si="350"/>
        <v>7184.0510657191762</v>
      </c>
      <c r="AM150" s="7">
        <f t="shared" ca="1" si="350"/>
        <v>7661.4477915184698</v>
      </c>
      <c r="AN150" s="7">
        <f t="shared" ca="1" si="350"/>
        <v>8070.4054806074964</v>
      </c>
      <c r="AO150" s="39"/>
      <c r="AP150" s="160">
        <f ca="1">+(AM150/AC150)^(0.1)-1</f>
        <v>8.663190261252085E-2</v>
      </c>
      <c r="AQ150" s="160">
        <f t="shared" ref="AQ150" si="353">+(AC150/S150)^(1/10)-1</f>
        <v>0.18163560511863985</v>
      </c>
    </row>
    <row r="151" spans="1:48" outlineLevel="1">
      <c r="A151" s="263" t="s">
        <v>87</v>
      </c>
      <c r="B151" s="263" t="s">
        <v>87</v>
      </c>
      <c r="E151" s="45" t="s">
        <v>87</v>
      </c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61">
        <f>-62-3-15+68-5</f>
        <v>-17</v>
      </c>
      <c r="T151" s="161">
        <f>-86-2-18-223-108</f>
        <v>-437</v>
      </c>
      <c r="U151" s="161">
        <v>0</v>
      </c>
      <c r="V151" s="161">
        <f>-101+11-52-23+30</f>
        <v>-135</v>
      </c>
      <c r="W151" s="161">
        <f>-11+8-38-8-43</f>
        <v>-92</v>
      </c>
      <c r="X151" s="161">
        <f>15+1+77-29+52</f>
        <v>116</v>
      </c>
      <c r="Y151" s="161">
        <f>-184+1-20+141+70</f>
        <v>8</v>
      </c>
      <c r="Z151" s="161">
        <f>-115-20+75+49-35</f>
        <v>-46</v>
      </c>
      <c r="AA151" s="161">
        <f>39-8-59-86-91</f>
        <v>-205</v>
      </c>
      <c r="AB151" s="161">
        <f>218-5-228+10+2</f>
        <v>-3</v>
      </c>
      <c r="AC151" s="161">
        <f>-300+9+248+307+87</f>
        <v>351</v>
      </c>
      <c r="AD151" s="49">
        <f>-AD215</f>
        <v>-8.0801502739263356</v>
      </c>
      <c r="AE151" s="49">
        <f t="shared" ref="AE151:AN151" ca="1" si="354">-AE215</f>
        <v>-54.737970878155693</v>
      </c>
      <c r="AF151" s="49">
        <f t="shared" ca="1" si="354"/>
        <v>-17.653358254409284</v>
      </c>
      <c r="AG151" s="49">
        <f t="shared" ca="1" si="354"/>
        <v>-16.986981656521266</v>
      </c>
      <c r="AH151" s="49">
        <f t="shared" ca="1" si="354"/>
        <v>-19.825499222400538</v>
      </c>
      <c r="AI151" s="49">
        <f t="shared" ca="1" si="354"/>
        <v>-19.49926926079138</v>
      </c>
      <c r="AJ151" s="49">
        <f t="shared" ca="1" si="354"/>
        <v>-23.007797884149909</v>
      </c>
      <c r="AK151" s="49">
        <f t="shared" ca="1" si="354"/>
        <v>-23.047977238728663</v>
      </c>
      <c r="AL151" s="49">
        <f t="shared" ca="1" si="354"/>
        <v>-18.84324111113142</v>
      </c>
      <c r="AM151" s="49">
        <f t="shared" ca="1" si="354"/>
        <v>-18.519284078609019</v>
      </c>
      <c r="AN151" s="49">
        <f t="shared" ca="1" si="354"/>
        <v>-18.197573818544697</v>
      </c>
      <c r="AO151" s="6"/>
    </row>
    <row r="152" spans="1:48" s="3" customFormat="1" outlineLevel="1">
      <c r="A152" s="263" t="s">
        <v>88</v>
      </c>
      <c r="B152" s="263"/>
      <c r="C152" s="96"/>
      <c r="E152" s="2" t="s">
        <v>88</v>
      </c>
      <c r="F152" s="2"/>
      <c r="G152" s="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7">
        <f t="shared" ref="S152:AC152" si="355">SUM(S150:S151)</f>
        <v>612</v>
      </c>
      <c r="T152" s="7">
        <f t="shared" si="355"/>
        <v>721</v>
      </c>
      <c r="U152" s="7">
        <f t="shared" si="355"/>
        <v>1698</v>
      </c>
      <c r="V152" s="7">
        <f t="shared" si="355"/>
        <v>1801</v>
      </c>
      <c r="W152" s="7">
        <f t="shared" si="355"/>
        <v>1995</v>
      </c>
      <c r="X152" s="7">
        <f t="shared" si="355"/>
        <v>1953</v>
      </c>
      <c r="Y152" s="7">
        <f t="shared" si="355"/>
        <v>2209</v>
      </c>
      <c r="Z152" s="7">
        <f t="shared" si="355"/>
        <v>2853</v>
      </c>
      <c r="AA152" s="7">
        <f t="shared" si="355"/>
        <v>3024</v>
      </c>
      <c r="AB152" s="7">
        <f t="shared" si="355"/>
        <v>2658</v>
      </c>
      <c r="AC152" s="7">
        <f t="shared" si="355"/>
        <v>3689</v>
      </c>
      <c r="AD152" s="7">
        <f t="shared" ref="AD152" ca="1" si="356">SUM(AD150:AD151)</f>
        <v>3962.5892955987988</v>
      </c>
      <c r="AE152" s="7">
        <f t="shared" ref="AE152" ca="1" si="357">SUM(AE150:AE151)</f>
        <v>4867.8598429176836</v>
      </c>
      <c r="AF152" s="7">
        <f t="shared" ref="AF152:AM152" ca="1" si="358">SUM(AF150:AF151)</f>
        <v>5123.9394961863627</v>
      </c>
      <c r="AG152" s="7">
        <f t="shared" ca="1" si="358"/>
        <v>5368.9871107936333</v>
      </c>
      <c r="AH152" s="7">
        <f t="shared" ca="1" si="358"/>
        <v>5641.7027426897985</v>
      </c>
      <c r="AI152" s="7">
        <f t="shared" ca="1" si="358"/>
        <v>5922.1074838406985</v>
      </c>
      <c r="AJ152" s="7">
        <f t="shared" ca="1" si="358"/>
        <v>6234.1919249987195</v>
      </c>
      <c r="AK152" s="7">
        <f t="shared" ca="1" si="358"/>
        <v>6701.8185558374216</v>
      </c>
      <c r="AL152" s="7">
        <f t="shared" ca="1" si="358"/>
        <v>7165.2078246080446</v>
      </c>
      <c r="AM152" s="7">
        <f t="shared" ca="1" si="358"/>
        <v>7642.9285074398604</v>
      </c>
      <c r="AN152" s="7">
        <f ca="1">SUM(AN150:AN151)</f>
        <v>8052.2079067889517</v>
      </c>
      <c r="AO152" s="39"/>
      <c r="AP152" s="160">
        <f ca="1">+(AM152/AC152)^(0.1)-1</f>
        <v>7.5561168258764466E-2</v>
      </c>
      <c r="AQ152" s="160">
        <f t="shared" ref="AQ152" si="359">+(AC152/S152)^(1/10)-1</f>
        <v>0.19678385919080954</v>
      </c>
      <c r="AR152" s="50"/>
      <c r="AU152" s="39"/>
      <c r="AV152" s="39"/>
    </row>
    <row r="153" spans="1:48" s="5" customFormat="1" outlineLevel="1">
      <c r="A153" s="262"/>
      <c r="B153" s="262"/>
      <c r="C153" s="99"/>
      <c r="E153" s="46" t="s">
        <v>160</v>
      </c>
      <c r="F153" s="46"/>
      <c r="G153" s="46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>
        <f t="shared" ref="S153:T153" si="360">+S152/S134</f>
        <v>8.3436720337018908</v>
      </c>
      <c r="T153" s="111">
        <f t="shared" si="360"/>
        <v>7.6016363022941968</v>
      </c>
      <c r="U153" s="111">
        <f t="shared" ref="U153:V153" si="361">+U152/U134</f>
        <v>15.975011995371199</v>
      </c>
      <c r="V153" s="111">
        <f t="shared" si="361"/>
        <v>17.159571630016387</v>
      </c>
      <c r="W153" s="111">
        <f t="shared" ref="W153:X153" si="362">+W152/W134</f>
        <v>20.699529980597433</v>
      </c>
      <c r="X153" s="111">
        <f t="shared" si="362"/>
        <v>22.250071204784959</v>
      </c>
      <c r="Y153" s="111">
        <f t="shared" ref="Y153:Z153" si="363">+Y152/Y134</f>
        <v>25.817535821977046</v>
      </c>
      <c r="Z153" s="111">
        <f t="shared" si="363"/>
        <v>34.155393271878367</v>
      </c>
      <c r="AA153" s="111">
        <f t="shared" ref="AA153:AN153" si="364">+AA152/AA134</f>
        <v>38.913910693604429</v>
      </c>
      <c r="AB153" s="111">
        <f t="shared" si="364"/>
        <v>36.446406779196202</v>
      </c>
      <c r="AC153" s="111">
        <f t="shared" si="364"/>
        <v>50.661246686900043</v>
      </c>
      <c r="AD153" s="111">
        <f ca="1">+AD152/AD134</f>
        <v>56.944392019064551</v>
      </c>
      <c r="AE153" s="111">
        <f ca="1">+AE152/AE134</f>
        <v>72.579450185525317</v>
      </c>
      <c r="AF153" s="111">
        <f t="shared" ca="1" si="364"/>
        <v>79.033042797584187</v>
      </c>
      <c r="AG153" s="111">
        <f t="shared" ca="1" si="364"/>
        <v>85.434136160265965</v>
      </c>
      <c r="AH153" s="111">
        <f t="shared" ca="1" si="364"/>
        <v>93.724186049903139</v>
      </c>
      <c r="AI153" s="111">
        <f t="shared" ca="1" si="364"/>
        <v>102.35384617603472</v>
      </c>
      <c r="AJ153" s="111">
        <f t="shared" ca="1" si="364"/>
        <v>111.71435590145943</v>
      </c>
      <c r="AK153" s="111">
        <f t="shared" ca="1" si="364"/>
        <v>124.14451403344015</v>
      </c>
      <c r="AL153" s="111">
        <f t="shared" ca="1" si="364"/>
        <v>138.33083836209155</v>
      </c>
      <c r="AM153" s="111">
        <f t="shared" ca="1" si="364"/>
        <v>153.34818606609142</v>
      </c>
      <c r="AN153" s="111">
        <f t="shared" ca="1" si="364"/>
        <v>167.59665692709564</v>
      </c>
      <c r="AO153" s="47"/>
      <c r="AP153" s="50"/>
      <c r="AQ153" s="50"/>
      <c r="AR153" s="50"/>
      <c r="AU153" s="39"/>
      <c r="AV153" s="39"/>
    </row>
    <row r="154" spans="1:48" outlineLevel="1"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U154" s="39"/>
      <c r="AV154" s="39"/>
    </row>
    <row r="155" spans="1:48" outlineLevel="1">
      <c r="A155" s="263" t="s">
        <v>89</v>
      </c>
      <c r="B155" s="263" t="s">
        <v>89</v>
      </c>
      <c r="E155" s="45" t="s">
        <v>89</v>
      </c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61">
        <f>-774-36</f>
        <v>-810</v>
      </c>
      <c r="T155" s="161">
        <f>-1272-97</f>
        <v>-1369</v>
      </c>
      <c r="U155" s="161">
        <f>-1580-104</f>
        <v>-1684</v>
      </c>
      <c r="V155" s="161">
        <f>-1701-120</f>
        <v>-1821</v>
      </c>
      <c r="W155" s="161">
        <f>-1534-102</f>
        <v>-1636</v>
      </c>
      <c r="X155" s="161">
        <f>-1246-93</f>
        <v>-1339</v>
      </c>
      <c r="Y155" s="161">
        <f>-1769-120</f>
        <v>-1889</v>
      </c>
      <c r="Z155" s="161">
        <f>-2106-185</f>
        <v>-2291</v>
      </c>
      <c r="AA155" s="161">
        <f>-2132-218</f>
        <v>-2350</v>
      </c>
      <c r="AB155" s="161">
        <f>-961-197</f>
        <v>-1158</v>
      </c>
      <c r="AC155" s="161">
        <f>-2998-200</f>
        <v>-3198</v>
      </c>
      <c r="AD155" s="140">
        <f t="shared" ref="AD155:AK155" si="365">-AD96*AD10</f>
        <v>-3351.2015832431521</v>
      </c>
      <c r="AE155" s="140">
        <f t="shared" ca="1" si="365"/>
        <v>-3666.0448579954732</v>
      </c>
      <c r="AF155" s="140">
        <f t="shared" ca="1" si="365"/>
        <v>-3882.341975898717</v>
      </c>
      <c r="AG155" s="140">
        <f t="shared" ca="1" si="365"/>
        <v>-4096.8045676069769</v>
      </c>
      <c r="AH155" s="140">
        <f t="shared" ca="1" si="365"/>
        <v>-4345.0109715338458</v>
      </c>
      <c r="AI155" s="140">
        <f t="shared" ca="1" si="365"/>
        <v>-4595.5736651370407</v>
      </c>
      <c r="AJ155" s="140">
        <f t="shared" ca="1" si="365"/>
        <v>-4888.4780632082739</v>
      </c>
      <c r="AK155" s="140">
        <f t="shared" ca="1" si="365"/>
        <v>-5188.7047243889901</v>
      </c>
      <c r="AL155" s="140">
        <f ca="1">-AL96*AL10</f>
        <v>-5451.2915314251823</v>
      </c>
      <c r="AM155" s="140">
        <f ca="1">-AM96*AM10</f>
        <v>-5716.7197115626077</v>
      </c>
      <c r="AN155" s="140">
        <f ca="1">-AN96*AN10</f>
        <v>-5985.1178536745711</v>
      </c>
      <c r="AO155" s="6"/>
      <c r="AP155" s="160">
        <f ca="1">+(AM155/AC155)^(0.1)-1</f>
        <v>5.9807147179043785E-2</v>
      </c>
      <c r="AQ155" s="160">
        <f t="shared" ref="AQ155:AQ156" si="366">+(AC155/S155)^(1/10)-1</f>
        <v>0.14720054343969302</v>
      </c>
    </row>
    <row r="156" spans="1:48" outlineLevel="1">
      <c r="A156" s="263" t="s">
        <v>261</v>
      </c>
      <c r="B156" s="263"/>
      <c r="E156" s="45" t="s">
        <v>261</v>
      </c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61">
        <f>208+13</f>
        <v>221</v>
      </c>
      <c r="T156" s="161">
        <f>399+31</f>
        <v>430</v>
      </c>
      <c r="U156" s="161">
        <f>490+26</f>
        <v>516</v>
      </c>
      <c r="V156" s="161">
        <f>544+33</f>
        <v>577</v>
      </c>
      <c r="W156" s="161">
        <f>538+17</f>
        <v>555</v>
      </c>
      <c r="X156" s="161">
        <f>496+14</f>
        <v>510</v>
      </c>
      <c r="Y156" s="161">
        <f>550+16</f>
        <v>566</v>
      </c>
      <c r="Z156" s="161">
        <f>664+23</f>
        <v>687</v>
      </c>
      <c r="AA156" s="161">
        <f>831+37</f>
        <v>868</v>
      </c>
      <c r="AB156" s="161">
        <f>858+42</f>
        <v>900</v>
      </c>
      <c r="AC156" s="161">
        <f>968+30</f>
        <v>998</v>
      </c>
      <c r="AD156" s="140">
        <f>-AD45</f>
        <v>1000</v>
      </c>
      <c r="AE156" s="140">
        <f t="shared" ref="AE156:AN156" si="367">-AE45</f>
        <v>784.96506000000011</v>
      </c>
      <c r="AF156" s="140">
        <f t="shared" si="367"/>
        <v>808.51401180000005</v>
      </c>
      <c r="AG156" s="140">
        <f t="shared" si="367"/>
        <v>832.76943215400013</v>
      </c>
      <c r="AH156" s="140">
        <f t="shared" si="367"/>
        <v>857.75251511862018</v>
      </c>
      <c r="AI156" s="140">
        <f t="shared" si="367"/>
        <v>883.48509057217882</v>
      </c>
      <c r="AJ156" s="140">
        <f t="shared" si="367"/>
        <v>909.98964328934414</v>
      </c>
      <c r="AK156" s="140">
        <f t="shared" si="367"/>
        <v>937.28933258802442</v>
      </c>
      <c r="AL156" s="140">
        <f t="shared" si="367"/>
        <v>965.40801256566522</v>
      </c>
      <c r="AM156" s="140">
        <f t="shared" si="367"/>
        <v>994.37025294263515</v>
      </c>
      <c r="AN156" s="140">
        <f t="shared" si="367"/>
        <v>1024.2013605309141</v>
      </c>
      <c r="AO156" s="6"/>
      <c r="AP156" s="160">
        <f>+(AM156/AC156)^(0.1)-1</f>
        <v>-3.6429874123533601E-4</v>
      </c>
      <c r="AQ156" s="160">
        <f t="shared" si="366"/>
        <v>0.16271647649072385</v>
      </c>
    </row>
    <row r="157" spans="1:48" outlineLevel="1">
      <c r="A157" s="263" t="s">
        <v>90</v>
      </c>
      <c r="B157" s="263" t="s">
        <v>90</v>
      </c>
      <c r="E157" s="45" t="s">
        <v>90</v>
      </c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61">
        <v>-276</v>
      </c>
      <c r="T157" s="161">
        <v>-1175</v>
      </c>
      <c r="U157" s="161">
        <v>-9</v>
      </c>
      <c r="V157" s="161">
        <v>-756</v>
      </c>
      <c r="W157" s="161">
        <v>-86</v>
      </c>
      <c r="X157" s="161">
        <v>-28</v>
      </c>
      <c r="Y157" s="161">
        <v>-2377</v>
      </c>
      <c r="Z157" s="161">
        <v>-2966</v>
      </c>
      <c r="AA157" s="161">
        <v>-249</v>
      </c>
      <c r="AB157" s="161">
        <v>-2</v>
      </c>
      <c r="AC157" s="161">
        <v>-1436</v>
      </c>
      <c r="AD157" s="132">
        <v>-2000</v>
      </c>
      <c r="AE157" s="273">
        <v>0</v>
      </c>
      <c r="AF157" s="273">
        <v>0</v>
      </c>
      <c r="AG157" s="273">
        <v>0</v>
      </c>
      <c r="AH157" s="273">
        <v>0</v>
      </c>
      <c r="AI157" s="273">
        <v>0</v>
      </c>
      <c r="AJ157" s="273">
        <v>0</v>
      </c>
      <c r="AK157" s="273">
        <v>0</v>
      </c>
      <c r="AL157" s="273">
        <v>0</v>
      </c>
      <c r="AM157" s="273">
        <v>0</v>
      </c>
      <c r="AN157" s="273">
        <v>0</v>
      </c>
      <c r="AO157" s="6"/>
      <c r="AS157" s="61"/>
    </row>
    <row r="158" spans="1:48" outlineLevel="1">
      <c r="A158" s="263" t="s">
        <v>200</v>
      </c>
      <c r="B158" s="263" t="s">
        <v>200</v>
      </c>
      <c r="E158" s="45" t="s">
        <v>200</v>
      </c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61">
        <v>0</v>
      </c>
      <c r="T158" s="161">
        <v>0</v>
      </c>
      <c r="U158" s="161">
        <v>0</v>
      </c>
      <c r="V158" s="161">
        <v>0</v>
      </c>
      <c r="W158" s="161">
        <v>0</v>
      </c>
      <c r="X158" s="161">
        <v>0</v>
      </c>
      <c r="Y158" s="161">
        <v>0</v>
      </c>
      <c r="Z158" s="161">
        <v>0</v>
      </c>
      <c r="AA158" s="161">
        <v>0</v>
      </c>
      <c r="AB158" s="161">
        <v>0</v>
      </c>
      <c r="AC158" s="161">
        <v>0</v>
      </c>
      <c r="AD158" s="273">
        <v>0</v>
      </c>
      <c r="AE158" s="273">
        <v>0</v>
      </c>
      <c r="AF158" s="273">
        <v>0</v>
      </c>
      <c r="AG158" s="273">
        <v>0</v>
      </c>
      <c r="AH158" s="273">
        <v>0</v>
      </c>
      <c r="AI158" s="273">
        <v>0</v>
      </c>
      <c r="AJ158" s="273">
        <v>0</v>
      </c>
      <c r="AK158" s="273">
        <v>0</v>
      </c>
      <c r="AL158" s="273">
        <v>0</v>
      </c>
      <c r="AM158" s="273">
        <v>0</v>
      </c>
      <c r="AN158" s="273">
        <v>0</v>
      </c>
      <c r="AO158" s="6"/>
    </row>
    <row r="159" spans="1:48" outlineLevel="1">
      <c r="B159" s="263" t="s">
        <v>173</v>
      </c>
      <c r="E159" s="45" t="s">
        <v>86</v>
      </c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61">
        <v>0</v>
      </c>
      <c r="T159" s="161">
        <v>10</v>
      </c>
      <c r="U159" s="161">
        <v>0</v>
      </c>
      <c r="V159" s="161">
        <v>0</v>
      </c>
      <c r="W159" s="161">
        <v>-3</v>
      </c>
      <c r="X159" s="161">
        <v>-2</v>
      </c>
      <c r="Y159" s="161">
        <f>21-5</f>
        <v>16</v>
      </c>
      <c r="Z159" s="161">
        <f>22-3</f>
        <v>19</v>
      </c>
      <c r="AA159" s="161">
        <f>24-3</f>
        <v>21</v>
      </c>
      <c r="AB159" s="161">
        <f>40-3</f>
        <v>37</v>
      </c>
      <c r="AC159" s="161">
        <v>25</v>
      </c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6"/>
    </row>
    <row r="160" spans="1:48" s="3" customFormat="1" outlineLevel="1">
      <c r="A160" s="263" t="s">
        <v>136</v>
      </c>
      <c r="B160" s="263"/>
      <c r="C160" s="96"/>
      <c r="E160" s="2" t="s">
        <v>91</v>
      </c>
      <c r="F160" s="2"/>
      <c r="G160" s="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f t="shared" ref="S160:T160" si="368">SUM(S155:S159)</f>
        <v>-865</v>
      </c>
      <c r="T160" s="7">
        <f t="shared" si="368"/>
        <v>-2104</v>
      </c>
      <c r="U160" s="7">
        <f t="shared" ref="U160:V160" si="369">SUM(U155:U159)</f>
        <v>-1177</v>
      </c>
      <c r="V160" s="7">
        <f t="shared" si="369"/>
        <v>-2000</v>
      </c>
      <c r="W160" s="7">
        <f t="shared" ref="W160:AC160" si="370">SUM(W155:W159)</f>
        <v>-1170</v>
      </c>
      <c r="X160" s="7">
        <f t="shared" si="370"/>
        <v>-859</v>
      </c>
      <c r="Y160" s="7">
        <f t="shared" si="370"/>
        <v>-3684</v>
      </c>
      <c r="Z160" s="7">
        <f t="shared" si="370"/>
        <v>-4551</v>
      </c>
      <c r="AA160" s="7">
        <f t="shared" si="370"/>
        <v>-1710</v>
      </c>
      <c r="AB160" s="7">
        <f t="shared" si="370"/>
        <v>-223</v>
      </c>
      <c r="AC160" s="7">
        <f t="shared" si="370"/>
        <v>-3611</v>
      </c>
      <c r="AD160" s="7">
        <f>SUM(AD155:AD159)</f>
        <v>-4351.2015832431516</v>
      </c>
      <c r="AE160" s="7">
        <f ca="1">SUM(AE155:AE159)</f>
        <v>-2881.0797979954732</v>
      </c>
      <c r="AF160" s="7">
        <f ca="1">SUM(AF155:AF159)</f>
        <v>-3073.8279640987171</v>
      </c>
      <c r="AG160" s="7">
        <f ca="1">SUM(AG155:AG159)</f>
        <v>-3264.0351354529766</v>
      </c>
      <c r="AH160" s="7">
        <f ca="1">SUM(AH155:AH159)</f>
        <v>-3487.2584564152257</v>
      </c>
      <c r="AI160" s="7">
        <f t="shared" ref="AI160:AM160" ca="1" si="371">SUM(AI155:AI159)</f>
        <v>-3712.088574564862</v>
      </c>
      <c r="AJ160" s="7">
        <f t="shared" ca="1" si="371"/>
        <v>-3978.4884199189296</v>
      </c>
      <c r="AK160" s="7">
        <f t="shared" ca="1" si="371"/>
        <v>-4251.4153918009661</v>
      </c>
      <c r="AL160" s="7">
        <f t="shared" ca="1" si="371"/>
        <v>-4485.8835188595167</v>
      </c>
      <c r="AM160" s="7">
        <f t="shared" ca="1" si="371"/>
        <v>-4722.3494586199722</v>
      </c>
      <c r="AN160" s="7">
        <f ca="1">SUM(AN155:AN159)</f>
        <v>-4960.9164931436571</v>
      </c>
      <c r="AO160" s="39"/>
    </row>
    <row r="161" spans="1:52" outlineLevel="1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52" outlineLevel="1">
      <c r="B162" s="265" t="e">
        <f>+A162+B97/(B54*B157/A162)</f>
        <v>#VALUE!</v>
      </c>
      <c r="E162" s="45" t="s">
        <v>92</v>
      </c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61">
        <f>1892-1813</f>
        <v>79</v>
      </c>
      <c r="T162" s="161">
        <f>6013-4370</f>
        <v>1643</v>
      </c>
      <c r="U162" s="161">
        <f>3805-3965</f>
        <v>-160</v>
      </c>
      <c r="V162" s="161">
        <f>7070-6283</f>
        <v>787</v>
      </c>
      <c r="W162" s="161">
        <f>8566-8482</f>
        <v>84</v>
      </c>
      <c r="X162" s="161">
        <f>8752-9223</f>
        <v>-471</v>
      </c>
      <c r="Y162" s="161">
        <f>11801-10207</f>
        <v>1594</v>
      </c>
      <c r="Z162" s="161">
        <f>12178-9942</f>
        <v>2236</v>
      </c>
      <c r="AA162" s="161">
        <f>9260-9678</f>
        <v>-418</v>
      </c>
      <c r="AB162" s="161">
        <f>9260-11245</f>
        <v>-1985</v>
      </c>
      <c r="AC162" s="161">
        <f>8364-8462</f>
        <v>-98</v>
      </c>
      <c r="AD162" s="62">
        <f ca="1">AD187-AC187+AD194-AC194</f>
        <v>1769.7404881605653</v>
      </c>
      <c r="AE162" s="62">
        <f t="shared" ref="AE162:AF162" ca="1" si="372">AE187-AD187+AE194-AD194</f>
        <v>1760.9195473081163</v>
      </c>
      <c r="AF162" s="62">
        <f t="shared" ca="1" si="372"/>
        <v>750.16130950531624</v>
      </c>
      <c r="AG162" s="62">
        <f t="shared" ref="AG162:AN162" ca="1" si="373">AG187-AF187+AG194-AF194</f>
        <v>782.61314047872656</v>
      </c>
      <c r="AH162" s="62">
        <f t="shared" ca="1" si="373"/>
        <v>890.33162346378595</v>
      </c>
      <c r="AI162" s="62">
        <f t="shared" ca="1" si="373"/>
        <v>931.35705612842685</v>
      </c>
      <c r="AJ162" s="62">
        <f t="shared" ca="1" si="373"/>
        <v>1061.5867894589792</v>
      </c>
      <c r="AK162" s="62">
        <f t="shared" ca="1" si="373"/>
        <v>1117.5719436951549</v>
      </c>
      <c r="AL162" s="62">
        <f t="shared" ca="1" si="373"/>
        <v>1058.5576929716444</v>
      </c>
      <c r="AM162" s="62">
        <f t="shared" ca="1" si="373"/>
        <v>1077.2069931444821</v>
      </c>
      <c r="AN162" s="62">
        <f t="shared" ca="1" si="373"/>
        <v>856.89362350953888</v>
      </c>
      <c r="AO162" s="6"/>
      <c r="AP162" s="160"/>
      <c r="AQ162" s="160"/>
      <c r="AS162" s="62"/>
    </row>
    <row r="163" spans="1:52" outlineLevel="1">
      <c r="A163" s="262" t="s">
        <v>201</v>
      </c>
      <c r="B163" s="263" t="s">
        <v>201</v>
      </c>
      <c r="E163" s="45" t="s">
        <v>201</v>
      </c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61">
        <v>0</v>
      </c>
      <c r="T163" s="161">
        <v>0</v>
      </c>
      <c r="U163" s="161">
        <v>0</v>
      </c>
      <c r="V163" s="161">
        <v>0</v>
      </c>
      <c r="W163" s="161">
        <v>0</v>
      </c>
      <c r="X163" s="161">
        <v>0</v>
      </c>
      <c r="Y163" s="161">
        <v>0</v>
      </c>
      <c r="Z163" s="161">
        <v>0</v>
      </c>
      <c r="AA163" s="161">
        <v>0</v>
      </c>
      <c r="AB163" s="161">
        <v>0</v>
      </c>
      <c r="AC163" s="161">
        <v>0</v>
      </c>
      <c r="AD163" s="274">
        <v>0</v>
      </c>
      <c r="AE163" s="274">
        <v>0</v>
      </c>
      <c r="AF163" s="274">
        <v>0</v>
      </c>
      <c r="AG163" s="274">
        <v>0</v>
      </c>
      <c r="AH163" s="274">
        <v>0</v>
      </c>
      <c r="AI163" s="274">
        <v>0</v>
      </c>
      <c r="AJ163" s="274">
        <v>0</v>
      </c>
      <c r="AK163" s="274">
        <v>0</v>
      </c>
      <c r="AL163" s="274">
        <v>0</v>
      </c>
      <c r="AM163" s="274">
        <v>0</v>
      </c>
      <c r="AN163" s="274">
        <v>0</v>
      </c>
      <c r="AO163" s="6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</row>
    <row r="164" spans="1:52" outlineLevel="1">
      <c r="B164" s="263" t="s">
        <v>167</v>
      </c>
      <c r="E164" s="45" t="s">
        <v>167</v>
      </c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61">
        <v>-7</v>
      </c>
      <c r="T164" s="161">
        <v>-131</v>
      </c>
      <c r="U164" s="161">
        <v>-115</v>
      </c>
      <c r="V164" s="161">
        <v>-613</v>
      </c>
      <c r="W164" s="161">
        <v>-789</v>
      </c>
      <c r="X164" s="161">
        <f>-528</f>
        <v>-528</v>
      </c>
      <c r="Y164" s="161">
        <v>-56</v>
      </c>
      <c r="Z164" s="161">
        <v>-817</v>
      </c>
      <c r="AA164" s="161">
        <v>-870</v>
      </c>
      <c r="AB164" s="161">
        <v>-286</v>
      </c>
      <c r="AC164" s="161">
        <v>-34</v>
      </c>
      <c r="AD164" s="274">
        <v>-1100</v>
      </c>
      <c r="AE164" s="274">
        <v>-1000</v>
      </c>
      <c r="AF164" s="274">
        <v>-1000</v>
      </c>
      <c r="AG164" s="274">
        <v>-1000</v>
      </c>
      <c r="AH164" s="274">
        <v>-1500</v>
      </c>
      <c r="AI164" s="274">
        <v>-1500</v>
      </c>
      <c r="AJ164" s="274">
        <v>-1500</v>
      </c>
      <c r="AK164" s="274">
        <v>-1500</v>
      </c>
      <c r="AL164" s="274">
        <v>-2000</v>
      </c>
      <c r="AM164" s="274">
        <v>-2000</v>
      </c>
      <c r="AN164" s="274">
        <v>-2000</v>
      </c>
      <c r="AO164" s="53"/>
      <c r="AP164" s="53"/>
      <c r="AQ164" s="53"/>
      <c r="AR164" s="53"/>
    </row>
    <row r="165" spans="1:52" outlineLevel="1">
      <c r="B165" s="263" t="s">
        <v>93</v>
      </c>
      <c r="E165" s="45" t="s">
        <v>93</v>
      </c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61">
        <v>0</v>
      </c>
      <c r="T165" s="161">
        <v>0</v>
      </c>
      <c r="U165" s="161">
        <v>0</v>
      </c>
      <c r="V165" s="161">
        <v>0</v>
      </c>
      <c r="W165" s="161">
        <v>0</v>
      </c>
      <c r="X165" s="161">
        <v>0</v>
      </c>
      <c r="Y165" s="161">
        <v>0</v>
      </c>
      <c r="Z165" s="161">
        <v>0</v>
      </c>
      <c r="AA165" s="161">
        <v>0</v>
      </c>
      <c r="AB165" s="161">
        <v>0</v>
      </c>
      <c r="AC165" s="161">
        <v>0</v>
      </c>
      <c r="AD165" s="274">
        <v>0</v>
      </c>
      <c r="AE165" s="274">
        <f t="shared" ref="AE165:AH165" si="374">AD165</f>
        <v>0</v>
      </c>
      <c r="AF165" s="274">
        <f t="shared" si="374"/>
        <v>0</v>
      </c>
      <c r="AG165" s="274">
        <f t="shared" si="374"/>
        <v>0</v>
      </c>
      <c r="AH165" s="274">
        <f t="shared" si="374"/>
        <v>0</v>
      </c>
      <c r="AI165" s="274">
        <v>-500</v>
      </c>
      <c r="AJ165" s="274">
        <f>+AI165-250</f>
        <v>-750</v>
      </c>
      <c r="AK165" s="274">
        <f t="shared" ref="AK165:AN165" si="375">+AJ165-250</f>
        <v>-1000</v>
      </c>
      <c r="AL165" s="274">
        <f t="shared" si="375"/>
        <v>-1250</v>
      </c>
      <c r="AM165" s="274">
        <f t="shared" si="375"/>
        <v>-1500</v>
      </c>
      <c r="AN165" s="274">
        <f t="shared" si="375"/>
        <v>-1750</v>
      </c>
      <c r="AO165" s="6"/>
    </row>
    <row r="166" spans="1:52" outlineLevel="1">
      <c r="B166" s="263" t="s">
        <v>237</v>
      </c>
      <c r="E166" s="45" t="s">
        <v>86</v>
      </c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61">
        <f>-16+35-11</f>
        <v>8</v>
      </c>
      <c r="T166" s="161">
        <f>-75+21-5</f>
        <v>-59</v>
      </c>
      <c r="U166" s="161">
        <f>6-24-2</f>
        <v>-20</v>
      </c>
      <c r="V166" s="161">
        <f>-22+2+42</f>
        <v>22</v>
      </c>
      <c r="W166" s="161">
        <f>-52-27+1+3+5</f>
        <v>-70</v>
      </c>
      <c r="X166" s="161">
        <f>-24+1+58</f>
        <v>35</v>
      </c>
      <c r="Y166" s="161">
        <f>-44+3</f>
        <v>-41</v>
      </c>
      <c r="Z166" s="161">
        <f>-24+2</f>
        <v>-22</v>
      </c>
      <c r="AA166" s="161">
        <f>-28+11</f>
        <v>-17</v>
      </c>
      <c r="AB166" s="161">
        <f>-23+1</f>
        <v>-22</v>
      </c>
      <c r="AC166" s="161">
        <v>-8</v>
      </c>
      <c r="AD166" s="273">
        <v>0</v>
      </c>
      <c r="AE166" s="273">
        <v>0</v>
      </c>
      <c r="AF166" s="273">
        <v>0</v>
      </c>
      <c r="AG166" s="273">
        <v>0</v>
      </c>
      <c r="AH166" s="273">
        <v>0</v>
      </c>
      <c r="AI166" s="273">
        <v>0</v>
      </c>
      <c r="AJ166" s="273">
        <v>0</v>
      </c>
      <c r="AK166" s="273">
        <v>0</v>
      </c>
      <c r="AL166" s="273">
        <v>0</v>
      </c>
      <c r="AM166" s="273">
        <v>0</v>
      </c>
      <c r="AN166" s="273">
        <v>0</v>
      </c>
      <c r="AO166" s="6"/>
    </row>
    <row r="167" spans="1:52" s="3" customFormat="1" outlineLevel="1">
      <c r="A167" s="263" t="s">
        <v>137</v>
      </c>
      <c r="B167" s="263"/>
      <c r="C167" s="96"/>
      <c r="E167" s="2" t="s">
        <v>94</v>
      </c>
      <c r="F167" s="2"/>
      <c r="G167" s="2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f t="shared" ref="S167:T167" si="376">SUM(S162:S166)</f>
        <v>80</v>
      </c>
      <c r="T167" s="7">
        <f t="shared" si="376"/>
        <v>1453</v>
      </c>
      <c r="U167" s="7">
        <f t="shared" ref="U167:V167" si="377">SUM(U162:U166)</f>
        <v>-295</v>
      </c>
      <c r="V167" s="7">
        <f t="shared" si="377"/>
        <v>196</v>
      </c>
      <c r="W167" s="7">
        <f t="shared" ref="W167:AN167" si="378">SUM(W162:W166)</f>
        <v>-775</v>
      </c>
      <c r="X167" s="7">
        <f t="shared" si="378"/>
        <v>-964</v>
      </c>
      <c r="Y167" s="7">
        <f t="shared" si="378"/>
        <v>1497</v>
      </c>
      <c r="Z167" s="7">
        <f t="shared" si="378"/>
        <v>1397</v>
      </c>
      <c r="AA167" s="7">
        <f t="shared" si="378"/>
        <v>-1305</v>
      </c>
      <c r="AB167" s="7">
        <f t="shared" si="378"/>
        <v>-2293</v>
      </c>
      <c r="AC167" s="7">
        <f t="shared" si="378"/>
        <v>-140</v>
      </c>
      <c r="AD167" s="7">
        <f t="shared" ref="AD167" ca="1" si="379">SUM(AD162:AD166)</f>
        <v>669.74048816056529</v>
      </c>
      <c r="AE167" s="7">
        <f t="shared" ref="AE167" ca="1" si="380">SUM(AE162:AE166)</f>
        <v>760.91954730811631</v>
      </c>
      <c r="AF167" s="7">
        <f t="shared" ca="1" si="378"/>
        <v>-249.83869049468376</v>
      </c>
      <c r="AG167" s="7">
        <f t="shared" ca="1" si="378"/>
        <v>-217.38685952127344</v>
      </c>
      <c r="AH167" s="7">
        <f t="shared" ca="1" si="378"/>
        <v>-609.66837653621405</v>
      </c>
      <c r="AI167" s="7">
        <f t="shared" ca="1" si="378"/>
        <v>-1068.6429438715732</v>
      </c>
      <c r="AJ167" s="7">
        <f t="shared" ca="1" si="378"/>
        <v>-1188.4132105410208</v>
      </c>
      <c r="AK167" s="7">
        <f t="shared" ca="1" si="378"/>
        <v>-1382.4280563048451</v>
      </c>
      <c r="AL167" s="7">
        <f t="shared" ca="1" si="378"/>
        <v>-2191.4423070283556</v>
      </c>
      <c r="AM167" s="7">
        <f t="shared" ca="1" si="378"/>
        <v>-2422.7930068555179</v>
      </c>
      <c r="AN167" s="7">
        <f t="shared" ca="1" si="378"/>
        <v>-2893.1063764904611</v>
      </c>
      <c r="AO167" s="39"/>
    </row>
    <row r="168" spans="1:52" outlineLevel="1">
      <c r="B168" s="26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52" outlineLevel="1">
      <c r="A169" s="263"/>
      <c r="B169" s="263" t="s">
        <v>95</v>
      </c>
      <c r="E169" s="45" t="s">
        <v>95</v>
      </c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61">
        <v>6</v>
      </c>
      <c r="T169" s="161">
        <v>0</v>
      </c>
      <c r="U169" s="161">
        <v>-10</v>
      </c>
      <c r="V169" s="161">
        <v>-14</v>
      </c>
      <c r="W169" s="161">
        <v>-29</v>
      </c>
      <c r="X169" s="161">
        <v>3</v>
      </c>
      <c r="Y169" s="161">
        <v>18</v>
      </c>
      <c r="Z169" s="161">
        <v>-8</v>
      </c>
      <c r="AA169" s="161">
        <v>0</v>
      </c>
      <c r="AB169" s="161">
        <v>8</v>
      </c>
      <c r="AC169" s="161">
        <v>4</v>
      </c>
      <c r="AD169" s="273">
        <v>0</v>
      </c>
      <c r="AE169" s="273">
        <v>0</v>
      </c>
      <c r="AF169" s="273">
        <v>0</v>
      </c>
      <c r="AG169" s="273">
        <f>AF169</f>
        <v>0</v>
      </c>
      <c r="AH169" s="273">
        <f t="shared" ref="AH169:AN169" si="381">AG169</f>
        <v>0</v>
      </c>
      <c r="AI169" s="273">
        <f t="shared" si="381"/>
        <v>0</v>
      </c>
      <c r="AJ169" s="273">
        <f t="shared" si="381"/>
        <v>0</v>
      </c>
      <c r="AK169" s="273">
        <f t="shared" si="381"/>
        <v>0</v>
      </c>
      <c r="AL169" s="273">
        <f t="shared" si="381"/>
        <v>0</v>
      </c>
      <c r="AM169" s="273">
        <f t="shared" si="381"/>
        <v>0</v>
      </c>
      <c r="AN169" s="273">
        <f t="shared" si="381"/>
        <v>0</v>
      </c>
      <c r="AO169" s="6"/>
    </row>
    <row r="170" spans="1:52" s="3" customFormat="1" outlineLevel="1">
      <c r="A170" s="263"/>
      <c r="B170" s="263"/>
      <c r="C170" s="96"/>
      <c r="E170" s="2" t="s">
        <v>96</v>
      </c>
      <c r="F170" s="2"/>
      <c r="G170" s="2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>
        <f t="shared" ref="S170:Z170" si="382">SUM(S169,S167,S160,S152)</f>
        <v>-167</v>
      </c>
      <c r="T170" s="7">
        <f t="shared" si="382"/>
        <v>70</v>
      </c>
      <c r="U170" s="7">
        <f t="shared" si="382"/>
        <v>216</v>
      </c>
      <c r="V170" s="7">
        <f t="shared" si="382"/>
        <v>-17</v>
      </c>
      <c r="W170" s="7">
        <f t="shared" si="382"/>
        <v>21</v>
      </c>
      <c r="X170" s="7">
        <f t="shared" si="382"/>
        <v>133</v>
      </c>
      <c r="Y170" s="7">
        <f t="shared" si="382"/>
        <v>40</v>
      </c>
      <c r="Z170" s="7">
        <f t="shared" si="382"/>
        <v>-309</v>
      </c>
      <c r="AA170" s="7">
        <f t="shared" ref="AA170:AC170" si="383">SUM(AA169,AA167,AA160,AA152)</f>
        <v>9</v>
      </c>
      <c r="AB170" s="7">
        <f t="shared" si="383"/>
        <v>150</v>
      </c>
      <c r="AC170" s="7">
        <f t="shared" si="383"/>
        <v>-58</v>
      </c>
      <c r="AD170" s="7">
        <f t="shared" ref="AD170:AN170" ca="1" si="384">SUM(AD169,AD167,AD160,AD152)</f>
        <v>281.12820051621247</v>
      </c>
      <c r="AE170" s="7">
        <f t="shared" ca="1" si="384"/>
        <v>2747.6995922303267</v>
      </c>
      <c r="AF170" s="7">
        <f t="shared" ca="1" si="384"/>
        <v>1800.2728415929619</v>
      </c>
      <c r="AG170" s="7">
        <f t="shared" ca="1" si="384"/>
        <v>1887.5651158193832</v>
      </c>
      <c r="AH170" s="7">
        <f t="shared" ca="1" si="384"/>
        <v>1544.7759097383587</v>
      </c>
      <c r="AI170" s="7">
        <f t="shared" ca="1" si="384"/>
        <v>1141.3759654042633</v>
      </c>
      <c r="AJ170" s="7">
        <f t="shared" ca="1" si="384"/>
        <v>1067.2902945387696</v>
      </c>
      <c r="AK170" s="7">
        <f t="shared" ca="1" si="384"/>
        <v>1067.9751077316105</v>
      </c>
      <c r="AL170" s="7">
        <f t="shared" ca="1" si="384"/>
        <v>487.88199872017231</v>
      </c>
      <c r="AM170" s="7">
        <f t="shared" ca="1" si="384"/>
        <v>497.78604196437027</v>
      </c>
      <c r="AN170" s="7">
        <f t="shared" ca="1" si="384"/>
        <v>198.18503715483348</v>
      </c>
      <c r="AO170" s="39"/>
    </row>
    <row r="171" spans="1:52">
      <c r="H171" s="6"/>
      <c r="I171" s="6"/>
      <c r="J171" s="6"/>
      <c r="K171" s="6"/>
      <c r="L171" s="6"/>
      <c r="M171" s="6"/>
      <c r="N171" s="6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52">
      <c r="D172" s="258"/>
      <c r="E172" s="259" t="s">
        <v>97</v>
      </c>
      <c r="F172" s="258"/>
      <c r="G172" s="258"/>
      <c r="H172" s="258"/>
      <c r="I172" s="258"/>
      <c r="J172" s="258"/>
      <c r="K172" s="258"/>
      <c r="L172" s="258"/>
      <c r="M172" s="258"/>
      <c r="N172" s="258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</row>
    <row r="173" spans="1:52" ht="5.0999999999999996" customHeight="1">
      <c r="C173" s="95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6"/>
      <c r="AP173" s="1"/>
    </row>
    <row r="174" spans="1:52" outlineLevel="1">
      <c r="A174" s="263" t="s">
        <v>139</v>
      </c>
      <c r="B174" s="263" t="s">
        <v>184</v>
      </c>
      <c r="E174" s="45" t="s">
        <v>184</v>
      </c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61">
        <v>36</v>
      </c>
      <c r="T174" s="161">
        <v>106</v>
      </c>
      <c r="U174" s="161">
        <v>175</v>
      </c>
      <c r="V174" s="161">
        <v>158</v>
      </c>
      <c r="W174" s="161">
        <v>179</v>
      </c>
      <c r="X174" s="161">
        <v>312</v>
      </c>
      <c r="Y174" s="161">
        <v>352</v>
      </c>
      <c r="Z174" s="161">
        <v>43</v>
      </c>
      <c r="AA174" s="161">
        <v>52</v>
      </c>
      <c r="AB174" s="161">
        <v>202</v>
      </c>
      <c r="AC174" s="161">
        <v>144</v>
      </c>
      <c r="AD174" s="6">
        <f t="shared" ref="AD174" ca="1" si="385">AC174+AD170</f>
        <v>425.12820051621247</v>
      </c>
      <c r="AE174" s="6">
        <f t="shared" ref="AE174:AN174" ca="1" si="386">AD174+AE170</f>
        <v>3172.8277927465392</v>
      </c>
      <c r="AF174" s="6">
        <f t="shared" ca="1" si="386"/>
        <v>4973.1006343395011</v>
      </c>
      <c r="AG174" s="6">
        <f t="shared" ca="1" si="386"/>
        <v>6860.6657501588843</v>
      </c>
      <c r="AH174" s="6">
        <f t="shared" ca="1" si="386"/>
        <v>8405.4416598972421</v>
      </c>
      <c r="AI174" s="6">
        <f t="shared" ca="1" si="386"/>
        <v>9546.8176253015044</v>
      </c>
      <c r="AJ174" s="6">
        <f t="shared" ca="1" si="386"/>
        <v>10614.107919840273</v>
      </c>
      <c r="AK174" s="6">
        <f t="shared" ca="1" si="386"/>
        <v>11682.083027571884</v>
      </c>
      <c r="AL174" s="6">
        <f t="shared" ca="1" si="386"/>
        <v>12169.965026292055</v>
      </c>
      <c r="AM174" s="6">
        <f t="shared" ca="1" si="386"/>
        <v>12667.751068256424</v>
      </c>
      <c r="AN174" s="6">
        <f t="shared" ca="1" si="386"/>
        <v>12865.936105411258</v>
      </c>
      <c r="AO174" s="6"/>
      <c r="AP174" s="160"/>
      <c r="AQ174" s="160"/>
    </row>
    <row r="175" spans="1:52" outlineLevel="1">
      <c r="B175" s="263" t="s">
        <v>185</v>
      </c>
      <c r="E175" s="45" t="s">
        <v>185</v>
      </c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61">
        <v>464</v>
      </c>
      <c r="T175" s="161">
        <v>793</v>
      </c>
      <c r="U175" s="161">
        <v>804</v>
      </c>
      <c r="V175" s="161">
        <v>940</v>
      </c>
      <c r="W175" s="161">
        <v>930</v>
      </c>
      <c r="X175" s="161">
        <v>920</v>
      </c>
      <c r="Y175" s="161">
        <v>1233</v>
      </c>
      <c r="Z175" s="161">
        <v>1545</v>
      </c>
      <c r="AA175" s="161">
        <v>1530</v>
      </c>
      <c r="AB175" s="161">
        <v>1315</v>
      </c>
      <c r="AC175" s="161">
        <v>1677</v>
      </c>
      <c r="AD175" s="6">
        <f t="shared" ref="AD175:AI175" si="387">(AD$209+SUM(AC$188:AC$191)-(AC$189-AD$189))*AC175/SUM(AC$175:AC$177)</f>
        <v>1683.7515754904707</v>
      </c>
      <c r="AE175" s="6">
        <f t="shared" ca="1" si="387"/>
        <v>1729.4892820986752</v>
      </c>
      <c r="AF175" s="6">
        <f t="shared" ca="1" si="387"/>
        <v>1744.2399954980995</v>
      </c>
      <c r="AG175" s="6">
        <f t="shared" ca="1" si="387"/>
        <v>1758.4339009480179</v>
      </c>
      <c r="AH175" s="6">
        <f t="shared" ca="1" si="387"/>
        <v>1774.9996020919968</v>
      </c>
      <c r="AI175" s="6">
        <f t="shared" ca="1" si="387"/>
        <v>1791.2927134773217</v>
      </c>
      <c r="AJ175" s="6">
        <f t="shared" ref="AJ175:AN175" ca="1" si="388">(AJ$209+SUM(AI$188:AI$191)-(AI$189-AJ$189))*AI175/SUM(AI$175:AI$177)</f>
        <v>1810.5174653715517</v>
      </c>
      <c r="AK175" s="6">
        <f t="shared" ca="1" si="388"/>
        <v>1829.7757901495027</v>
      </c>
      <c r="AL175" s="6">
        <f t="shared" ca="1" si="388"/>
        <v>1845.5207404949774</v>
      </c>
      <c r="AM175" s="6">
        <f t="shared" ca="1" si="388"/>
        <v>1860.9950002856237</v>
      </c>
      <c r="AN175" s="6">
        <f t="shared" ca="1" si="388"/>
        <v>1876.2004468694302</v>
      </c>
      <c r="AO175" s="6"/>
    </row>
    <row r="176" spans="1:52" outlineLevel="1">
      <c r="B176" s="263" t="s">
        <v>186</v>
      </c>
      <c r="E176" s="45" t="s">
        <v>186</v>
      </c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61">
        <v>44</v>
      </c>
      <c r="T176" s="161">
        <v>68</v>
      </c>
      <c r="U176" s="161">
        <v>70</v>
      </c>
      <c r="V176" s="161">
        <v>78</v>
      </c>
      <c r="W176" s="161">
        <v>69</v>
      </c>
      <c r="X176" s="161">
        <v>68</v>
      </c>
      <c r="Y176" s="161">
        <v>75</v>
      </c>
      <c r="Z176" s="161">
        <v>109</v>
      </c>
      <c r="AA176" s="161">
        <v>120</v>
      </c>
      <c r="AB176" s="161">
        <v>125</v>
      </c>
      <c r="AC176" s="161">
        <v>164</v>
      </c>
      <c r="AD176" s="6">
        <f t="shared" ref="AD176:AN176" si="389">(AD$209+SUM(AC$188:AC$191)-(AC$189-AD$189))*AC176/SUM(AC$175:AC$177)</f>
        <v>164.66026140753559</v>
      </c>
      <c r="AE176" s="6">
        <f t="shared" ca="1" si="389"/>
        <v>169.13312001442023</v>
      </c>
      <c r="AF176" s="6">
        <f t="shared" ca="1" si="389"/>
        <v>170.57564654841283</v>
      </c>
      <c r="AG176" s="6">
        <f t="shared" ca="1" si="389"/>
        <v>171.96372078442158</v>
      </c>
      <c r="AH176" s="6">
        <f t="shared" ca="1" si="389"/>
        <v>173.58374164763717</v>
      </c>
      <c r="AI176" s="6">
        <f t="shared" ca="1" si="389"/>
        <v>175.17710495544472</v>
      </c>
      <c r="AJ176" s="6">
        <f t="shared" ca="1" si="389"/>
        <v>177.05716417467772</v>
      </c>
      <c r="AK176" s="6">
        <f t="shared" ca="1" si="389"/>
        <v>178.94050660973079</v>
      </c>
      <c r="AL176" s="6">
        <f t="shared" ca="1" si="389"/>
        <v>180.48026323266333</v>
      </c>
      <c r="AM176" s="6">
        <f t="shared" ca="1" si="389"/>
        <v>181.99354803031747</v>
      </c>
      <c r="AN176" s="6">
        <f t="shared" ca="1" si="389"/>
        <v>183.48054459546012</v>
      </c>
      <c r="AO176" s="6"/>
    </row>
    <row r="177" spans="1:45" outlineLevel="1">
      <c r="B177" s="263" t="s">
        <v>187</v>
      </c>
      <c r="E177" s="45" t="s">
        <v>187</v>
      </c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61">
        <f>75+104</f>
        <v>179</v>
      </c>
      <c r="T177" s="161">
        <f>111+265</f>
        <v>376</v>
      </c>
      <c r="U177" s="161">
        <f>53+260</f>
        <v>313</v>
      </c>
      <c r="V177" s="161">
        <f>122+248</f>
        <v>370</v>
      </c>
      <c r="W177" s="161">
        <v>116</v>
      </c>
      <c r="X177" s="161">
        <v>61</v>
      </c>
      <c r="Y177" s="161">
        <v>112</v>
      </c>
      <c r="Z177" s="161">
        <v>64</v>
      </c>
      <c r="AA177" s="161">
        <v>140</v>
      </c>
      <c r="AB177" s="161">
        <v>375</v>
      </c>
      <c r="AC177" s="161">
        <v>166</v>
      </c>
      <c r="AD177" s="6">
        <f t="shared" ref="AD177:AK177" si="390">(AD$209+SUM(AC$188:AC$191)-(AC$189-AD$189))*AC177/SUM(AC$175:AC$177)</f>
        <v>166.66831337592015</v>
      </c>
      <c r="AE177" s="6">
        <f t="shared" ca="1" si="390"/>
        <v>171.19571903898634</v>
      </c>
      <c r="AF177" s="6">
        <f t="shared" ca="1" si="390"/>
        <v>172.65583735997882</v>
      </c>
      <c r="AG177" s="6">
        <f t="shared" ca="1" si="390"/>
        <v>174.060839330573</v>
      </c>
      <c r="AH177" s="6">
        <f t="shared" ca="1" si="390"/>
        <v>175.70061654577901</v>
      </c>
      <c r="AI177" s="6">
        <f t="shared" ca="1" si="390"/>
        <v>177.31341111343789</v>
      </c>
      <c r="AJ177" s="6">
        <f t="shared" ca="1" si="390"/>
        <v>179.21639788412494</v>
      </c>
      <c r="AK177" s="6">
        <f t="shared" ca="1" si="390"/>
        <v>181.12270790984937</v>
      </c>
      <c r="AL177" s="6">
        <f t="shared" ref="AL177:AN177" ca="1" si="391">(AL$209+SUM(AK$188:AK$191)-(AK$189-AL$189))*AK177/SUM(AK$175:AK$177)</f>
        <v>182.68124205257377</v>
      </c>
      <c r="AM177" s="6">
        <f t="shared" ca="1" si="391"/>
        <v>184.21298154288223</v>
      </c>
      <c r="AN177" s="6">
        <f t="shared" ca="1" si="391"/>
        <v>185.71811221247785</v>
      </c>
      <c r="AO177" s="6"/>
    </row>
    <row r="178" spans="1:45" s="3" customFormat="1" outlineLevel="1">
      <c r="A178" s="263" t="s">
        <v>138</v>
      </c>
      <c r="B178" s="263"/>
      <c r="C178" s="96"/>
      <c r="E178" s="2" t="s">
        <v>99</v>
      </c>
      <c r="F178" s="2"/>
      <c r="G178" s="2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>
        <f t="shared" ref="S178:T178" si="392">SUM(S174:S177)</f>
        <v>723</v>
      </c>
      <c r="T178" s="7">
        <f t="shared" si="392"/>
        <v>1343</v>
      </c>
      <c r="U178" s="7">
        <f t="shared" ref="U178:V178" si="393">SUM(U174:U177)</f>
        <v>1362</v>
      </c>
      <c r="V178" s="7">
        <f t="shared" si="393"/>
        <v>1546</v>
      </c>
      <c r="W178" s="7">
        <f t="shared" ref="W178:AC178" si="394">SUM(W174:W177)</f>
        <v>1294</v>
      </c>
      <c r="X178" s="7">
        <f t="shared" si="394"/>
        <v>1361</v>
      </c>
      <c r="Y178" s="7">
        <f t="shared" si="394"/>
        <v>1772</v>
      </c>
      <c r="Z178" s="7">
        <f t="shared" si="394"/>
        <v>1761</v>
      </c>
      <c r="AA178" s="7">
        <f t="shared" si="394"/>
        <v>1842</v>
      </c>
      <c r="AB178" s="7">
        <f t="shared" si="394"/>
        <v>2017</v>
      </c>
      <c r="AC178" s="7">
        <f t="shared" si="394"/>
        <v>2151</v>
      </c>
      <c r="AD178" s="7">
        <f t="shared" ref="AD178:AN178" ca="1" si="395">SUM(AD174:AD177)</f>
        <v>2440.2083507901389</v>
      </c>
      <c r="AE178" s="7">
        <f t="shared" ca="1" si="395"/>
        <v>5242.6459138986211</v>
      </c>
      <c r="AF178" s="7">
        <f t="shared" ca="1" si="395"/>
        <v>7060.5721137459923</v>
      </c>
      <c r="AG178" s="7">
        <f t="shared" ca="1" si="395"/>
        <v>8965.124211221897</v>
      </c>
      <c r="AH178" s="7">
        <f t="shared" ca="1" si="395"/>
        <v>10529.725620182655</v>
      </c>
      <c r="AI178" s="7">
        <f t="shared" ca="1" si="395"/>
        <v>11690.600854847709</v>
      </c>
      <c r="AJ178" s="7">
        <f t="shared" ca="1" si="395"/>
        <v>12780.898947270627</v>
      </c>
      <c r="AK178" s="7">
        <f t="shared" ca="1" si="395"/>
        <v>13871.922032240967</v>
      </c>
      <c r="AL178" s="7">
        <f t="shared" ca="1" si="395"/>
        <v>14378.647272072269</v>
      </c>
      <c r="AM178" s="7">
        <f t="shared" ca="1" si="395"/>
        <v>14894.952598115247</v>
      </c>
      <c r="AN178" s="7">
        <f t="shared" ca="1" si="395"/>
        <v>15111.335209088627</v>
      </c>
      <c r="AO178" s="39"/>
    </row>
    <row r="179" spans="1:45" outlineLevel="1">
      <c r="A179" s="263" t="s">
        <v>100</v>
      </c>
      <c r="B179" s="263" t="s">
        <v>100</v>
      </c>
      <c r="E179" s="45" t="s">
        <v>100</v>
      </c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61">
        <f>2617+366</f>
        <v>2983</v>
      </c>
      <c r="T179" s="161">
        <f>4966+428</f>
        <v>5394</v>
      </c>
      <c r="U179" s="161">
        <f>5374+421</f>
        <v>5795</v>
      </c>
      <c r="V179" s="161">
        <f>6008+438</f>
        <v>6446</v>
      </c>
      <c r="W179" s="161">
        <f>6186+445</f>
        <v>6631</v>
      </c>
      <c r="X179" s="161">
        <f>6189+430</f>
        <v>6619</v>
      </c>
      <c r="Y179" s="161">
        <f>7824+467</f>
        <v>8291</v>
      </c>
      <c r="Z179" s="161">
        <f>9600+614</f>
        <v>10214</v>
      </c>
      <c r="AA179" s="161">
        <f>9787+604</f>
        <v>10391</v>
      </c>
      <c r="AB179" s="161">
        <f>8705+604</f>
        <v>9309</v>
      </c>
      <c r="AC179" s="161">
        <f>10560+612</f>
        <v>11172</v>
      </c>
      <c r="AD179" s="62">
        <f>AD273</f>
        <v>13771.994686691427</v>
      </c>
      <c r="AE179" s="62">
        <f t="shared" ref="AE179:AN179" ca="1" si="396">AE273</f>
        <v>14372.954539653896</v>
      </c>
      <c r="AF179" s="62">
        <f t="shared" ca="1" si="396"/>
        <v>15071.87964789246</v>
      </c>
      <c r="AG179" s="62">
        <f t="shared" ca="1" si="396"/>
        <v>15849.603381111383</v>
      </c>
      <c r="AH179" s="62">
        <f t="shared" ca="1" si="396"/>
        <v>16725.828792573437</v>
      </c>
      <c r="AI179" s="62">
        <f t="shared" ca="1" si="396"/>
        <v>17685.460691176413</v>
      </c>
      <c r="AJ179" s="62">
        <f t="shared" ca="1" si="396"/>
        <v>18755.977866781188</v>
      </c>
      <c r="AK179" s="62">
        <f t="shared" ca="1" si="396"/>
        <v>19925.087470926595</v>
      </c>
      <c r="AL179" s="62">
        <f t="shared" ca="1" si="396"/>
        <v>21137.63908571779</v>
      </c>
      <c r="AM179" s="62">
        <f t="shared" ca="1" si="396"/>
        <v>22388.456857170942</v>
      </c>
      <c r="AN179" s="62">
        <f t="shared" ca="1" si="396"/>
        <v>23673.370092035944</v>
      </c>
      <c r="AO179" s="6"/>
    </row>
    <row r="180" spans="1:45" outlineLevel="1">
      <c r="A180" s="263"/>
      <c r="B180" s="263"/>
      <c r="E180" s="45" t="s">
        <v>322</v>
      </c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61">
        <v>0</v>
      </c>
      <c r="T180" s="161">
        <v>0</v>
      </c>
      <c r="U180" s="161">
        <v>0</v>
      </c>
      <c r="V180" s="161">
        <v>0</v>
      </c>
      <c r="W180" s="161">
        <v>0</v>
      </c>
      <c r="X180" s="161">
        <v>0</v>
      </c>
      <c r="Y180" s="161">
        <v>0</v>
      </c>
      <c r="Z180" s="161">
        <v>0</v>
      </c>
      <c r="AA180" s="161">
        <v>669</v>
      </c>
      <c r="AB180" s="161">
        <v>688</v>
      </c>
      <c r="AC180" s="161">
        <v>784</v>
      </c>
      <c r="AD180" s="62">
        <f>+AD282</f>
        <v>852.0004025194454</v>
      </c>
      <c r="AE180" s="62">
        <f t="shared" ref="AE180:AN180" ca="1" si="397">+AE282</f>
        <v>932.04530288020499</v>
      </c>
      <c r="AF180" s="62">
        <f t="shared" ca="1" si="397"/>
        <v>987.0360955674704</v>
      </c>
      <c r="AG180" s="62">
        <f t="shared" ca="1" si="397"/>
        <v>1041.5604832899094</v>
      </c>
      <c r="AH180" s="62">
        <f t="shared" ca="1" si="397"/>
        <v>1104.6638063221642</v>
      </c>
      <c r="AI180" s="62">
        <f t="shared" ca="1" si="397"/>
        <v>1168.36618605179</v>
      </c>
      <c r="AJ180" s="62">
        <f t="shared" ca="1" si="397"/>
        <v>1242.8334059004085</v>
      </c>
      <c r="AK180" s="62">
        <f t="shared" ca="1" si="397"/>
        <v>1319.1622180649977</v>
      </c>
      <c r="AL180" s="62">
        <f t="shared" ca="1" si="397"/>
        <v>1385.9215757860632</v>
      </c>
      <c r="AM180" s="62">
        <f t="shared" ca="1" si="397"/>
        <v>1453.403316498968</v>
      </c>
      <c r="AN180" s="62">
        <f t="shared" ca="1" si="397"/>
        <v>1521.6401322901452</v>
      </c>
      <c r="AO180" s="6"/>
    </row>
    <row r="181" spans="1:45" outlineLevel="1">
      <c r="A181" s="263" t="s">
        <v>101</v>
      </c>
      <c r="B181" s="263" t="s">
        <v>101</v>
      </c>
      <c r="E181" s="45" t="s">
        <v>101</v>
      </c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61">
        <v>372</v>
      </c>
      <c r="T181" s="161">
        <v>4170</v>
      </c>
      <c r="U181" s="161">
        <v>2953</v>
      </c>
      <c r="V181" s="161">
        <v>3272</v>
      </c>
      <c r="W181" s="161">
        <v>3243</v>
      </c>
      <c r="X181" s="161">
        <v>3260</v>
      </c>
      <c r="Y181" s="161">
        <v>4082</v>
      </c>
      <c r="Z181" s="161">
        <v>5058</v>
      </c>
      <c r="AA181" s="161">
        <v>5154</v>
      </c>
      <c r="AB181" s="161">
        <v>5168</v>
      </c>
      <c r="AC181" s="161">
        <v>5528</v>
      </c>
      <c r="AD181" s="6">
        <f>AC181</f>
        <v>5528</v>
      </c>
      <c r="AE181" s="6">
        <f t="shared" ref="AE181:AN181" si="398">AD181</f>
        <v>5528</v>
      </c>
      <c r="AF181" s="6">
        <f t="shared" si="398"/>
        <v>5528</v>
      </c>
      <c r="AG181" s="6">
        <f t="shared" si="398"/>
        <v>5528</v>
      </c>
      <c r="AH181" s="6">
        <f t="shared" si="398"/>
        <v>5528</v>
      </c>
      <c r="AI181" s="6">
        <f t="shared" si="398"/>
        <v>5528</v>
      </c>
      <c r="AJ181" s="6">
        <f t="shared" si="398"/>
        <v>5528</v>
      </c>
      <c r="AK181" s="6">
        <f t="shared" si="398"/>
        <v>5528</v>
      </c>
      <c r="AL181" s="6">
        <f t="shared" si="398"/>
        <v>5528</v>
      </c>
      <c r="AM181" s="6">
        <f t="shared" si="398"/>
        <v>5528</v>
      </c>
      <c r="AN181" s="6">
        <f t="shared" si="398"/>
        <v>5528</v>
      </c>
      <c r="AO181" s="6"/>
    </row>
    <row r="182" spans="1:45" outlineLevel="1">
      <c r="A182" s="263" t="s">
        <v>102</v>
      </c>
      <c r="B182" s="263" t="s">
        <v>102</v>
      </c>
      <c r="E182" s="45" t="s">
        <v>102</v>
      </c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61">
        <v>0</v>
      </c>
      <c r="T182" s="161">
        <v>0</v>
      </c>
      <c r="U182" s="161">
        <v>1018</v>
      </c>
      <c r="V182" s="161">
        <v>1106</v>
      </c>
      <c r="W182" s="161">
        <v>905</v>
      </c>
      <c r="X182" s="161">
        <v>742</v>
      </c>
      <c r="Y182" s="161">
        <v>875</v>
      </c>
      <c r="Z182" s="161">
        <v>1084</v>
      </c>
      <c r="AA182" s="161">
        <v>895</v>
      </c>
      <c r="AB182" s="161">
        <v>648</v>
      </c>
      <c r="AC182" s="161">
        <v>615</v>
      </c>
      <c r="AD182" s="6">
        <f>AD292</f>
        <v>579.3949358763565</v>
      </c>
      <c r="AE182" s="6">
        <f t="shared" ref="AE182:AN182" si="399">AE292</f>
        <v>548.58792602990229</v>
      </c>
      <c r="AF182" s="6">
        <f t="shared" si="399"/>
        <v>520.98645387006036</v>
      </c>
      <c r="AG182" s="6">
        <f t="shared" si="399"/>
        <v>495.48052083694859</v>
      </c>
      <c r="AH182" s="6">
        <f t="shared" si="399"/>
        <v>471.31166383693102</v>
      </c>
      <c r="AI182" s="6">
        <f t="shared" si="399"/>
        <v>447.97300678180613</v>
      </c>
      <c r="AJ182" s="6">
        <f t="shared" si="399"/>
        <v>425.13417121357202</v>
      </c>
      <c r="AK182" s="6">
        <f t="shared" si="399"/>
        <v>402.58584074230191</v>
      </c>
      <c r="AL182" s="6">
        <f t="shared" si="399"/>
        <v>380.19963663382305</v>
      </c>
      <c r="AM182" s="6">
        <f t="shared" si="399"/>
        <v>357.89972362082227</v>
      </c>
      <c r="AN182" s="6">
        <f t="shared" si="399"/>
        <v>335.64323213987439</v>
      </c>
      <c r="AO182" s="6"/>
      <c r="AS182" s="6"/>
    </row>
    <row r="183" spans="1:45" outlineLevel="1">
      <c r="A183" s="263" t="s">
        <v>98</v>
      </c>
      <c r="B183" s="263"/>
      <c r="E183" s="45" t="s">
        <v>98</v>
      </c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61">
        <v>0</v>
      </c>
      <c r="T183" s="161">
        <v>0</v>
      </c>
      <c r="U183" s="161">
        <v>0</v>
      </c>
      <c r="V183" s="161">
        <v>0</v>
      </c>
      <c r="W183" s="161">
        <v>0</v>
      </c>
      <c r="X183" s="161">
        <v>0</v>
      </c>
      <c r="Y183" s="161">
        <v>0</v>
      </c>
      <c r="Z183" s="161">
        <v>0</v>
      </c>
      <c r="AA183" s="161">
        <v>0</v>
      </c>
      <c r="AB183" s="161">
        <v>0</v>
      </c>
      <c r="AC183" s="161">
        <v>0</v>
      </c>
      <c r="AD183" s="108">
        <f t="shared" ref="AD183:AN183" si="400">AC183</f>
        <v>0</v>
      </c>
      <c r="AE183" s="108">
        <f t="shared" si="400"/>
        <v>0</v>
      </c>
      <c r="AF183" s="108">
        <f t="shared" si="400"/>
        <v>0</v>
      </c>
      <c r="AG183" s="108">
        <f t="shared" si="400"/>
        <v>0</v>
      </c>
      <c r="AH183" s="108">
        <f t="shared" si="400"/>
        <v>0</v>
      </c>
      <c r="AI183" s="108">
        <f t="shared" si="400"/>
        <v>0</v>
      </c>
      <c r="AJ183" s="108">
        <f t="shared" si="400"/>
        <v>0</v>
      </c>
      <c r="AK183" s="108">
        <f t="shared" si="400"/>
        <v>0</v>
      </c>
      <c r="AL183" s="108">
        <f t="shared" si="400"/>
        <v>0</v>
      </c>
      <c r="AM183" s="108">
        <f t="shared" si="400"/>
        <v>0</v>
      </c>
      <c r="AN183" s="108">
        <f t="shared" si="400"/>
        <v>0</v>
      </c>
      <c r="AO183" s="6"/>
    </row>
    <row r="184" spans="1:45" outlineLevel="1">
      <c r="B184" s="263" t="s">
        <v>233</v>
      </c>
      <c r="E184" s="45" t="s">
        <v>86</v>
      </c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61">
        <v>65</v>
      </c>
      <c r="T184" s="161">
        <v>119</v>
      </c>
      <c r="U184" s="161">
        <v>103</v>
      </c>
      <c r="V184" s="161">
        <v>97</v>
      </c>
      <c r="W184" s="161">
        <v>10</v>
      </c>
      <c r="X184" s="161">
        <v>6</v>
      </c>
      <c r="Y184" s="161">
        <v>10</v>
      </c>
      <c r="Z184" s="161">
        <v>16</v>
      </c>
      <c r="AA184" s="161">
        <v>19</v>
      </c>
      <c r="AB184" s="161">
        <v>38</v>
      </c>
      <c r="AC184" s="161">
        <v>42</v>
      </c>
      <c r="AD184" s="49">
        <f>+AC184</f>
        <v>42</v>
      </c>
      <c r="AE184" s="49">
        <f t="shared" ref="AE184:AN184" si="401">AD184</f>
        <v>42</v>
      </c>
      <c r="AF184" s="49">
        <f t="shared" si="401"/>
        <v>42</v>
      </c>
      <c r="AG184" s="49">
        <f t="shared" si="401"/>
        <v>42</v>
      </c>
      <c r="AH184" s="49">
        <f t="shared" si="401"/>
        <v>42</v>
      </c>
      <c r="AI184" s="49">
        <f t="shared" si="401"/>
        <v>42</v>
      </c>
      <c r="AJ184" s="49">
        <f t="shared" si="401"/>
        <v>42</v>
      </c>
      <c r="AK184" s="49">
        <f t="shared" si="401"/>
        <v>42</v>
      </c>
      <c r="AL184" s="49">
        <f t="shared" si="401"/>
        <v>42</v>
      </c>
      <c r="AM184" s="49">
        <f t="shared" si="401"/>
        <v>42</v>
      </c>
      <c r="AN184" s="49">
        <f t="shared" si="401"/>
        <v>42</v>
      </c>
      <c r="AO184" s="6"/>
    </row>
    <row r="185" spans="1:45" s="3" customFormat="1" outlineLevel="1">
      <c r="A185" s="263" t="s">
        <v>140</v>
      </c>
      <c r="B185" s="263"/>
      <c r="C185" s="96"/>
      <c r="E185" s="2" t="s">
        <v>103</v>
      </c>
      <c r="F185" s="2"/>
      <c r="G185" s="2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f t="shared" ref="S185:U185" si="402">SUM(S178:S184)</f>
        <v>4143</v>
      </c>
      <c r="T185" s="7">
        <f t="shared" si="402"/>
        <v>11026</v>
      </c>
      <c r="U185" s="7">
        <f t="shared" si="402"/>
        <v>11231</v>
      </c>
      <c r="V185" s="7">
        <f t="shared" ref="V185:W185" si="403">SUM(V178:V184)</f>
        <v>12467</v>
      </c>
      <c r="W185" s="7">
        <f t="shared" si="403"/>
        <v>12083</v>
      </c>
      <c r="X185" s="7">
        <f t="shared" ref="X185:AC185" si="404">SUM(X178:X184)</f>
        <v>11988</v>
      </c>
      <c r="Y185" s="7">
        <f t="shared" si="404"/>
        <v>15030</v>
      </c>
      <c r="Z185" s="7">
        <f t="shared" si="404"/>
        <v>18133</v>
      </c>
      <c r="AA185" s="7">
        <f t="shared" si="404"/>
        <v>18970</v>
      </c>
      <c r="AB185" s="7">
        <f t="shared" si="404"/>
        <v>17868</v>
      </c>
      <c r="AC185" s="7">
        <f t="shared" si="404"/>
        <v>20292</v>
      </c>
      <c r="AD185" s="7">
        <f t="shared" ref="AD185:AN185" ca="1" si="405">SUM(AD178:AD184)</f>
        <v>23213.598375877369</v>
      </c>
      <c r="AE185" s="7">
        <f t="shared" ca="1" si="405"/>
        <v>26666.233682462622</v>
      </c>
      <c r="AF185" s="7">
        <f t="shared" ca="1" si="405"/>
        <v>29210.474311075981</v>
      </c>
      <c r="AG185" s="7">
        <f t="shared" ca="1" si="405"/>
        <v>31921.768596460133</v>
      </c>
      <c r="AH185" s="7">
        <f t="shared" ca="1" si="405"/>
        <v>34401.529882915194</v>
      </c>
      <c r="AI185" s="7">
        <f t="shared" ca="1" si="405"/>
        <v>36562.400738857723</v>
      </c>
      <c r="AJ185" s="7">
        <f t="shared" ca="1" si="405"/>
        <v>38774.844391165796</v>
      </c>
      <c r="AK185" s="7">
        <f t="shared" ca="1" si="405"/>
        <v>41088.75756197486</v>
      </c>
      <c r="AL185" s="7">
        <f t="shared" ca="1" si="405"/>
        <v>42852.407570209944</v>
      </c>
      <c r="AM185" s="7">
        <f t="shared" ca="1" si="405"/>
        <v>44664.712495405984</v>
      </c>
      <c r="AN185" s="7">
        <f t="shared" ca="1" si="405"/>
        <v>46211.988665554592</v>
      </c>
      <c r="AO185" s="39"/>
      <c r="AP185" s="160">
        <f ca="1">+(AM185/AC185)^(0.1)-1</f>
        <v>8.2091458430158637E-2</v>
      </c>
      <c r="AQ185" s="160">
        <f t="shared" ref="AQ185" si="406">+(AC185/S185)^(1/10)-1</f>
        <v>0.17219804313180465</v>
      </c>
    </row>
    <row r="186" spans="1:45" outlineLevel="1">
      <c r="B186" s="26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31"/>
      <c r="U186" s="31"/>
      <c r="V186" s="31"/>
      <c r="W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5" outlineLevel="1">
      <c r="A187" s="263" t="s">
        <v>141</v>
      </c>
      <c r="B187" s="263" t="s">
        <v>141</v>
      </c>
      <c r="E187" s="45" t="s">
        <v>104</v>
      </c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61">
        <v>395</v>
      </c>
      <c r="T187" s="161">
        <v>630</v>
      </c>
      <c r="U187" s="161">
        <v>604</v>
      </c>
      <c r="V187" s="161">
        <v>618</v>
      </c>
      <c r="W187" s="161">
        <v>607</v>
      </c>
      <c r="X187" s="161">
        <v>597</v>
      </c>
      <c r="Y187" s="161">
        <v>723</v>
      </c>
      <c r="Z187" s="161">
        <v>903</v>
      </c>
      <c r="AA187" s="161">
        <v>997</v>
      </c>
      <c r="AB187" s="161">
        <v>704</v>
      </c>
      <c r="AC187" s="161">
        <v>906</v>
      </c>
      <c r="AD187" s="49">
        <f t="shared" ref="AD187:AN187" si="407">AC187</f>
        <v>906</v>
      </c>
      <c r="AE187" s="49">
        <f t="shared" si="407"/>
        <v>906</v>
      </c>
      <c r="AF187" s="49">
        <f t="shared" si="407"/>
        <v>906</v>
      </c>
      <c r="AG187" s="49">
        <f t="shared" si="407"/>
        <v>906</v>
      </c>
      <c r="AH187" s="49">
        <f t="shared" si="407"/>
        <v>906</v>
      </c>
      <c r="AI187" s="49">
        <f t="shared" si="407"/>
        <v>906</v>
      </c>
      <c r="AJ187" s="49">
        <f t="shared" si="407"/>
        <v>906</v>
      </c>
      <c r="AK187" s="49">
        <f t="shared" si="407"/>
        <v>906</v>
      </c>
      <c r="AL187" s="49">
        <f t="shared" si="407"/>
        <v>906</v>
      </c>
      <c r="AM187" s="49">
        <f t="shared" si="407"/>
        <v>906</v>
      </c>
      <c r="AN187" s="49">
        <f t="shared" si="407"/>
        <v>906</v>
      </c>
      <c r="AO187" s="6"/>
    </row>
    <row r="188" spans="1:45" outlineLevel="1">
      <c r="B188" s="263" t="s">
        <v>105</v>
      </c>
      <c r="E188" s="45" t="s">
        <v>105</v>
      </c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61">
        <v>206</v>
      </c>
      <c r="T188" s="161">
        <v>286</v>
      </c>
      <c r="U188" s="161">
        <v>292</v>
      </c>
      <c r="V188" s="161">
        <v>285</v>
      </c>
      <c r="W188" s="161">
        <v>271</v>
      </c>
      <c r="X188" s="161">
        <v>243</v>
      </c>
      <c r="Y188" s="161">
        <v>409</v>
      </c>
      <c r="Z188" s="161">
        <v>536</v>
      </c>
      <c r="AA188" s="161">
        <v>454</v>
      </c>
      <c r="AB188" s="161">
        <v>466</v>
      </c>
      <c r="AC188" s="161">
        <v>816</v>
      </c>
      <c r="AD188" s="49">
        <f t="shared" ref="AD188:AN189" si="408">AC188</f>
        <v>816</v>
      </c>
      <c r="AE188" s="49">
        <f t="shared" si="408"/>
        <v>816</v>
      </c>
      <c r="AF188" s="49">
        <f t="shared" si="408"/>
        <v>816</v>
      </c>
      <c r="AG188" s="49">
        <f t="shared" si="408"/>
        <v>816</v>
      </c>
      <c r="AH188" s="49">
        <f t="shared" si="408"/>
        <v>816</v>
      </c>
      <c r="AI188" s="49">
        <f t="shared" si="408"/>
        <v>816</v>
      </c>
      <c r="AJ188" s="49">
        <f t="shared" si="408"/>
        <v>816</v>
      </c>
      <c r="AK188" s="49">
        <f t="shared" si="408"/>
        <v>816</v>
      </c>
      <c r="AL188" s="49">
        <f t="shared" si="408"/>
        <v>816</v>
      </c>
      <c r="AM188" s="49">
        <f t="shared" si="408"/>
        <v>816</v>
      </c>
      <c r="AN188" s="49">
        <f t="shared" si="408"/>
        <v>816</v>
      </c>
      <c r="AO188" s="6"/>
    </row>
    <row r="189" spans="1:45" outlineLevel="1">
      <c r="B189" s="263" t="s">
        <v>234</v>
      </c>
      <c r="E189" s="45" t="s">
        <v>188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61">
        <v>0</v>
      </c>
      <c r="T189" s="161">
        <v>0</v>
      </c>
      <c r="U189" s="161">
        <v>0</v>
      </c>
      <c r="V189" s="161">
        <v>0</v>
      </c>
      <c r="W189" s="161">
        <v>0</v>
      </c>
      <c r="X189" s="161">
        <v>0</v>
      </c>
      <c r="Y189" s="161">
        <v>0</v>
      </c>
      <c r="Z189" s="161">
        <v>0</v>
      </c>
      <c r="AA189" s="161">
        <v>0</v>
      </c>
      <c r="AB189" s="161">
        <v>0</v>
      </c>
      <c r="AC189" s="161">
        <v>0</v>
      </c>
      <c r="AD189" s="49">
        <f t="shared" ref="AD189:AN191" si="409">AC189</f>
        <v>0</v>
      </c>
      <c r="AE189" s="49">
        <f t="shared" si="408"/>
        <v>0</v>
      </c>
      <c r="AF189" s="49">
        <f t="shared" si="408"/>
        <v>0</v>
      </c>
      <c r="AG189" s="49">
        <f t="shared" si="408"/>
        <v>0</v>
      </c>
      <c r="AH189" s="49">
        <f t="shared" si="408"/>
        <v>0</v>
      </c>
      <c r="AI189" s="49">
        <f t="shared" si="408"/>
        <v>0</v>
      </c>
      <c r="AJ189" s="49">
        <f t="shared" si="408"/>
        <v>0</v>
      </c>
      <c r="AK189" s="49">
        <f t="shared" si="408"/>
        <v>0</v>
      </c>
      <c r="AL189" s="49">
        <f t="shared" si="408"/>
        <v>0</v>
      </c>
      <c r="AM189" s="49">
        <f t="shared" si="408"/>
        <v>0</v>
      </c>
      <c r="AN189" s="49">
        <f t="shared" si="408"/>
        <v>0</v>
      </c>
      <c r="AO189" s="6"/>
    </row>
    <row r="190" spans="1:45" outlineLevel="1">
      <c r="B190" s="263" t="s">
        <v>189</v>
      </c>
      <c r="E190" s="45" t="s">
        <v>189</v>
      </c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61">
        <v>263</v>
      </c>
      <c r="T190" s="161">
        <v>435</v>
      </c>
      <c r="U190" s="161">
        <v>390</v>
      </c>
      <c r="V190" s="161">
        <v>575</v>
      </c>
      <c r="W190" s="161">
        <v>355</v>
      </c>
      <c r="X190" s="161">
        <v>344</v>
      </c>
      <c r="Y190" s="161">
        <v>536</v>
      </c>
      <c r="Z190" s="161">
        <v>677</v>
      </c>
      <c r="AA190" s="161">
        <v>747</v>
      </c>
      <c r="AB190" s="161">
        <v>720</v>
      </c>
      <c r="AC190" s="161">
        <v>881</v>
      </c>
      <c r="AD190" s="49">
        <f t="shared" ref="AD190:AN190" si="410">AC190</f>
        <v>881</v>
      </c>
      <c r="AE190" s="49">
        <f t="shared" si="410"/>
        <v>881</v>
      </c>
      <c r="AF190" s="49">
        <f t="shared" si="410"/>
        <v>881</v>
      </c>
      <c r="AG190" s="49">
        <f t="shared" si="410"/>
        <v>881</v>
      </c>
      <c r="AH190" s="49">
        <f t="shared" si="410"/>
        <v>881</v>
      </c>
      <c r="AI190" s="49">
        <f t="shared" si="410"/>
        <v>881</v>
      </c>
      <c r="AJ190" s="49">
        <f t="shared" si="410"/>
        <v>881</v>
      </c>
      <c r="AK190" s="49">
        <f t="shared" si="410"/>
        <v>881</v>
      </c>
      <c r="AL190" s="49">
        <f t="shared" si="410"/>
        <v>881</v>
      </c>
      <c r="AM190" s="49">
        <f t="shared" si="410"/>
        <v>881</v>
      </c>
      <c r="AN190" s="49">
        <f t="shared" si="410"/>
        <v>881</v>
      </c>
      <c r="AO190" s="6"/>
    </row>
    <row r="191" spans="1:45" outlineLevel="1">
      <c r="B191" s="263" t="s">
        <v>190</v>
      </c>
      <c r="E191" s="45" t="s">
        <v>190</v>
      </c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61">
        <v>0</v>
      </c>
      <c r="T191" s="161">
        <v>0</v>
      </c>
      <c r="U191" s="161">
        <v>0</v>
      </c>
      <c r="V191" s="161">
        <v>0</v>
      </c>
      <c r="W191" s="161">
        <v>0</v>
      </c>
      <c r="X191" s="161">
        <v>0</v>
      </c>
      <c r="Y191" s="161">
        <v>0</v>
      </c>
      <c r="Z191" s="161">
        <v>0</v>
      </c>
      <c r="AA191" s="161">
        <v>0</v>
      </c>
      <c r="AB191" s="161">
        <v>0</v>
      </c>
      <c r="AC191" s="161">
        <v>0</v>
      </c>
      <c r="AD191" s="49">
        <f t="shared" si="409"/>
        <v>0</v>
      </c>
      <c r="AE191" s="49">
        <f t="shared" si="409"/>
        <v>0</v>
      </c>
      <c r="AF191" s="49">
        <f t="shared" si="409"/>
        <v>0</v>
      </c>
      <c r="AG191" s="49">
        <f t="shared" si="409"/>
        <v>0</v>
      </c>
      <c r="AH191" s="49">
        <f t="shared" si="409"/>
        <v>0</v>
      </c>
      <c r="AI191" s="49">
        <f t="shared" si="409"/>
        <v>0</v>
      </c>
      <c r="AJ191" s="49">
        <f t="shared" si="409"/>
        <v>0</v>
      </c>
      <c r="AK191" s="49">
        <f t="shared" si="409"/>
        <v>0</v>
      </c>
      <c r="AL191" s="49">
        <f t="shared" si="409"/>
        <v>0</v>
      </c>
      <c r="AM191" s="49">
        <f t="shared" si="409"/>
        <v>0</v>
      </c>
      <c r="AN191" s="49">
        <f t="shared" si="409"/>
        <v>0</v>
      </c>
      <c r="AO191" s="6"/>
    </row>
    <row r="192" spans="1:45" s="3" customFormat="1" outlineLevel="1">
      <c r="A192" s="263" t="s">
        <v>142</v>
      </c>
      <c r="B192" s="263"/>
      <c r="C192" s="96"/>
      <c r="E192" s="2" t="s">
        <v>106</v>
      </c>
      <c r="F192" s="2"/>
      <c r="G192" s="2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>
        <f t="shared" ref="S192:U192" si="411">SUM(S187:S191)</f>
        <v>864</v>
      </c>
      <c r="T192" s="7">
        <f t="shared" si="411"/>
        <v>1351</v>
      </c>
      <c r="U192" s="7">
        <f t="shared" si="411"/>
        <v>1286</v>
      </c>
      <c r="V192" s="7">
        <f t="shared" ref="V192:W192" si="412">SUM(V187:V191)</f>
        <v>1478</v>
      </c>
      <c r="W192" s="7">
        <f t="shared" si="412"/>
        <v>1233</v>
      </c>
      <c r="X192" s="7">
        <f t="shared" ref="X192:AC192" si="413">SUM(X187:X191)</f>
        <v>1184</v>
      </c>
      <c r="Y192" s="7">
        <f t="shared" si="413"/>
        <v>1668</v>
      </c>
      <c r="Z192" s="7">
        <f t="shared" si="413"/>
        <v>2116</v>
      </c>
      <c r="AA192" s="7">
        <f t="shared" si="413"/>
        <v>2198</v>
      </c>
      <c r="AB192" s="7">
        <f t="shared" si="413"/>
        <v>1890</v>
      </c>
      <c r="AC192" s="7">
        <f t="shared" si="413"/>
        <v>2603</v>
      </c>
      <c r="AD192" s="7">
        <f t="shared" ref="AD192:AN192" si="414">SUM(AD187:AD191)</f>
        <v>2603</v>
      </c>
      <c r="AE192" s="7">
        <f t="shared" si="414"/>
        <v>2603</v>
      </c>
      <c r="AF192" s="7">
        <f t="shared" si="414"/>
        <v>2603</v>
      </c>
      <c r="AG192" s="7">
        <f t="shared" si="414"/>
        <v>2603</v>
      </c>
      <c r="AH192" s="7">
        <f t="shared" si="414"/>
        <v>2603</v>
      </c>
      <c r="AI192" s="7">
        <f t="shared" si="414"/>
        <v>2603</v>
      </c>
      <c r="AJ192" s="7">
        <f t="shared" si="414"/>
        <v>2603</v>
      </c>
      <c r="AK192" s="7">
        <f t="shared" si="414"/>
        <v>2603</v>
      </c>
      <c r="AL192" s="7">
        <f t="shared" si="414"/>
        <v>2603</v>
      </c>
      <c r="AM192" s="7">
        <f t="shared" si="414"/>
        <v>2603</v>
      </c>
      <c r="AN192" s="7">
        <f t="shared" si="414"/>
        <v>2603</v>
      </c>
      <c r="AO192" s="39"/>
      <c r="AP192" s="160"/>
      <c r="AQ192" s="160"/>
    </row>
    <row r="193" spans="1:48" outlineLevel="1">
      <c r="B193" s="263" t="s">
        <v>235</v>
      </c>
      <c r="E193" s="45" t="s">
        <v>188</v>
      </c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>
        <v>59</v>
      </c>
      <c r="T193" s="161">
        <f>65+55</f>
        <v>120</v>
      </c>
      <c r="U193" s="161">
        <v>69</v>
      </c>
      <c r="V193" s="161">
        <v>65</v>
      </c>
      <c r="W193" s="161">
        <v>54</v>
      </c>
      <c r="X193" s="161">
        <v>67</v>
      </c>
      <c r="Y193" s="161">
        <v>120</v>
      </c>
      <c r="Z193" s="161">
        <v>83</v>
      </c>
      <c r="AA193" s="161">
        <v>91</v>
      </c>
      <c r="AB193" s="161">
        <v>138</v>
      </c>
      <c r="AC193" s="161">
        <v>144</v>
      </c>
      <c r="AD193" s="61">
        <f>+AC193</f>
        <v>144</v>
      </c>
      <c r="AE193" s="61">
        <f t="shared" ref="AE193:AN193" si="415">+AD193</f>
        <v>144</v>
      </c>
      <c r="AF193" s="61">
        <f t="shared" si="415"/>
        <v>144</v>
      </c>
      <c r="AG193" s="61">
        <f t="shared" si="415"/>
        <v>144</v>
      </c>
      <c r="AH193" s="61">
        <f t="shared" si="415"/>
        <v>144</v>
      </c>
      <c r="AI193" s="61">
        <f t="shared" si="415"/>
        <v>144</v>
      </c>
      <c r="AJ193" s="61">
        <f t="shared" si="415"/>
        <v>144</v>
      </c>
      <c r="AK193" s="61">
        <f t="shared" si="415"/>
        <v>144</v>
      </c>
      <c r="AL193" s="61">
        <f t="shared" si="415"/>
        <v>144</v>
      </c>
      <c r="AM193" s="61">
        <f t="shared" si="415"/>
        <v>144</v>
      </c>
      <c r="AN193" s="61">
        <f t="shared" si="415"/>
        <v>144</v>
      </c>
      <c r="AO193" s="6"/>
      <c r="AP193" s="3"/>
      <c r="AQ193" s="3"/>
      <c r="AR193" s="3"/>
      <c r="AS193" s="3"/>
      <c r="AT193" s="3"/>
      <c r="AU193" s="3"/>
    </row>
    <row r="194" spans="1:48" outlineLevel="1">
      <c r="A194" s="263" t="s">
        <v>144</v>
      </c>
      <c r="B194" s="263" t="s">
        <v>144</v>
      </c>
      <c r="E194" s="45" t="s">
        <v>191</v>
      </c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61">
        <f>2592+55</f>
        <v>2647</v>
      </c>
      <c r="T194" s="161">
        <v>6679</v>
      </c>
      <c r="U194" s="161">
        <v>6569</v>
      </c>
      <c r="V194" s="161">
        <v>7434</v>
      </c>
      <c r="W194" s="161">
        <v>7555</v>
      </c>
      <c r="X194" s="161">
        <v>7193</v>
      </c>
      <c r="Y194" s="161">
        <v>8717</v>
      </c>
      <c r="Z194" s="161">
        <v>10844</v>
      </c>
      <c r="AA194" s="161">
        <f>10431</f>
        <v>10431</v>
      </c>
      <c r="AB194" s="161">
        <f>8978</f>
        <v>8978</v>
      </c>
      <c r="AC194" s="161">
        <f>8779</f>
        <v>8779</v>
      </c>
      <c r="AD194" s="62">
        <f t="shared" ref="AD194:AM194" ca="1" si="416">AD222-AD187</f>
        <v>10548.740488160565</v>
      </c>
      <c r="AE194" s="62">
        <f t="shared" ca="1" si="416"/>
        <v>12309.660035468682</v>
      </c>
      <c r="AF194" s="62">
        <f t="shared" ca="1" si="416"/>
        <v>13059.821344973998</v>
      </c>
      <c r="AG194" s="62">
        <f t="shared" ca="1" si="416"/>
        <v>13842.434485452724</v>
      </c>
      <c r="AH194" s="62">
        <f t="shared" ca="1" si="416"/>
        <v>14732.76610891651</v>
      </c>
      <c r="AI194" s="62">
        <f t="shared" ca="1" si="416"/>
        <v>15664.123165044937</v>
      </c>
      <c r="AJ194" s="62">
        <f t="shared" ca="1" si="416"/>
        <v>16725.709954503916</v>
      </c>
      <c r="AK194" s="62">
        <f t="shared" ca="1" si="416"/>
        <v>17843.281898199071</v>
      </c>
      <c r="AL194" s="62">
        <f t="shared" ca="1" si="416"/>
        <v>18901.839591170716</v>
      </c>
      <c r="AM194" s="62">
        <f t="shared" ca="1" si="416"/>
        <v>19979.046584315198</v>
      </c>
      <c r="AN194" s="62">
        <f t="shared" ref="AN194" ca="1" si="417">AN222-AN187</f>
        <v>20835.940207824737</v>
      </c>
      <c r="AO194" s="6"/>
      <c r="AP194" s="3"/>
      <c r="AQ194" s="3"/>
      <c r="AR194" s="3"/>
      <c r="AS194" s="3"/>
      <c r="AT194" s="3"/>
      <c r="AU194" s="3"/>
    </row>
    <row r="195" spans="1:48" outlineLevel="1">
      <c r="A195" s="263"/>
      <c r="B195" s="263"/>
      <c r="E195" s="45" t="s">
        <v>344</v>
      </c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>
        <v>0</v>
      </c>
      <c r="T195" s="161">
        <v>0</v>
      </c>
      <c r="U195" s="161">
        <v>0</v>
      </c>
      <c r="V195" s="161">
        <v>0</v>
      </c>
      <c r="W195" s="161">
        <v>0</v>
      </c>
      <c r="X195" s="161">
        <v>0</v>
      </c>
      <c r="Y195" s="161">
        <v>0</v>
      </c>
      <c r="Z195" s="161">
        <v>0</v>
      </c>
      <c r="AA195" s="161">
        <v>533</v>
      </c>
      <c r="AB195" s="161">
        <v>549</v>
      </c>
      <c r="AC195" s="161">
        <v>621</v>
      </c>
      <c r="AD195" s="62">
        <f>+(AD180-AC180)+AC195</f>
        <v>689.0004025194454</v>
      </c>
      <c r="AE195" s="62">
        <f ca="1">+(AE180-AD180)+AD195</f>
        <v>769.04530288020499</v>
      </c>
      <c r="AF195" s="62">
        <f t="shared" ref="AF195:AN195" ca="1" si="418">+(AF180-AE180)+AE195</f>
        <v>824.0360955674704</v>
      </c>
      <c r="AG195" s="62">
        <f t="shared" ref="AG195:AM195" ca="1" si="419">+(AG180-AF180)+AF195</f>
        <v>878.56048328990937</v>
      </c>
      <c r="AH195" s="62">
        <f t="shared" ca="1" si="419"/>
        <v>941.66380632216419</v>
      </c>
      <c r="AI195" s="62">
        <f t="shared" ca="1" si="419"/>
        <v>1005.36618605179</v>
      </c>
      <c r="AJ195" s="62">
        <f t="shared" ca="1" si="419"/>
        <v>1079.8334059004085</v>
      </c>
      <c r="AK195" s="62">
        <f t="shared" ca="1" si="419"/>
        <v>1156.1622180649977</v>
      </c>
      <c r="AL195" s="62">
        <f t="shared" ca="1" si="419"/>
        <v>1222.9215757860632</v>
      </c>
      <c r="AM195" s="62">
        <f t="shared" ca="1" si="419"/>
        <v>1290.403316498968</v>
      </c>
      <c r="AN195" s="62">
        <f t="shared" ca="1" si="418"/>
        <v>1358.6401322901452</v>
      </c>
      <c r="AO195" s="6"/>
      <c r="AP195" s="3"/>
      <c r="AQ195" s="3"/>
      <c r="AR195" s="3"/>
      <c r="AS195" s="3"/>
      <c r="AT195" s="3"/>
      <c r="AU195" s="3"/>
    </row>
    <row r="196" spans="1:48" outlineLevel="1">
      <c r="B196" s="263" t="s">
        <v>236</v>
      </c>
      <c r="E196" s="45" t="s">
        <v>84</v>
      </c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>
        <v>470</v>
      </c>
      <c r="T196" s="161">
        <v>1302</v>
      </c>
      <c r="U196" s="161">
        <v>1459</v>
      </c>
      <c r="V196" s="161">
        <v>1692</v>
      </c>
      <c r="W196" s="161">
        <v>1765</v>
      </c>
      <c r="X196" s="161">
        <v>1896</v>
      </c>
      <c r="Y196" s="161">
        <v>1419</v>
      </c>
      <c r="Z196" s="161">
        <v>1687</v>
      </c>
      <c r="AA196" s="161">
        <v>1887</v>
      </c>
      <c r="AB196" s="161">
        <v>1768</v>
      </c>
      <c r="AC196" s="161">
        <v>2154</v>
      </c>
      <c r="AD196" s="49">
        <f t="shared" ref="AD196:AL196" ca="1" si="420">AC196+AD147</f>
        <v>2385.2319690208965</v>
      </c>
      <c r="AE196" s="49">
        <f t="shared" ca="1" si="420"/>
        <v>2820.51044550696</v>
      </c>
      <c r="AF196" s="49">
        <f t="shared" ca="1" si="420"/>
        <v>3198.3157594960326</v>
      </c>
      <c r="AG196" s="49">
        <f t="shared" ca="1" si="420"/>
        <v>3506.2611263370673</v>
      </c>
      <c r="AH196" s="49">
        <f t="shared" ca="1" si="420"/>
        <v>3730.4334478155124</v>
      </c>
      <c r="AI196" s="49">
        <f t="shared" ca="1" si="420"/>
        <v>3852.1954255110691</v>
      </c>
      <c r="AJ196" s="49">
        <f t="shared" ca="1" si="420"/>
        <v>3852.1954255110691</v>
      </c>
      <c r="AK196" s="49">
        <f t="shared" ca="1" si="420"/>
        <v>3852.1954255110691</v>
      </c>
      <c r="AL196" s="49">
        <f t="shared" ca="1" si="420"/>
        <v>3852.1954255110691</v>
      </c>
      <c r="AM196" s="49">
        <f t="shared" ref="AM196" ca="1" si="421">AL196+AM147</f>
        <v>3852.1954255110691</v>
      </c>
      <c r="AN196" s="49">
        <f t="shared" ref="AN196" ca="1" si="422">AM196+AN147</f>
        <v>3852.1954255110691</v>
      </c>
      <c r="AO196" s="6"/>
    </row>
    <row r="197" spans="1:48" s="3" customFormat="1" outlineLevel="1">
      <c r="A197" s="263" t="s">
        <v>143</v>
      </c>
      <c r="B197" s="263"/>
      <c r="C197" s="96"/>
      <c r="E197" s="2" t="s">
        <v>107</v>
      </c>
      <c r="F197" s="2"/>
      <c r="G197" s="2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>
        <f t="shared" ref="S197:U197" si="423">SUM(S192:S196)</f>
        <v>4040</v>
      </c>
      <c r="T197" s="7">
        <f t="shared" si="423"/>
        <v>9452</v>
      </c>
      <c r="U197" s="7">
        <f t="shared" si="423"/>
        <v>9383</v>
      </c>
      <c r="V197" s="7">
        <f t="shared" ref="V197:W197" si="424">SUM(V192:V196)</f>
        <v>10669</v>
      </c>
      <c r="W197" s="7">
        <f t="shared" si="424"/>
        <v>10607</v>
      </c>
      <c r="X197" s="7">
        <f t="shared" ref="X197:AN197" si="425">SUM(X192:X196)</f>
        <v>10340</v>
      </c>
      <c r="Y197" s="7">
        <f t="shared" si="425"/>
        <v>11924</v>
      </c>
      <c r="Z197" s="7">
        <f t="shared" si="425"/>
        <v>14730</v>
      </c>
      <c r="AA197" s="7">
        <f t="shared" si="425"/>
        <v>15140</v>
      </c>
      <c r="AB197" s="7">
        <f t="shared" si="425"/>
        <v>13323</v>
      </c>
      <c r="AC197" s="7">
        <f t="shared" si="425"/>
        <v>14301</v>
      </c>
      <c r="AD197" s="7">
        <f t="shared" ref="AD197:AM197" ca="1" si="426">SUM(AD192:AD196)</f>
        <v>16369.972859700907</v>
      </c>
      <c r="AE197" s="7">
        <f t="shared" ca="1" si="426"/>
        <v>18646.215783855849</v>
      </c>
      <c r="AF197" s="7">
        <f t="shared" ca="1" si="426"/>
        <v>19829.173200037501</v>
      </c>
      <c r="AG197" s="7">
        <f t="shared" ca="1" si="426"/>
        <v>20974.256095079698</v>
      </c>
      <c r="AH197" s="7">
        <f t="shared" ca="1" si="426"/>
        <v>22151.863363054188</v>
      </c>
      <c r="AI197" s="7">
        <f t="shared" ca="1" si="426"/>
        <v>23268.684776607795</v>
      </c>
      <c r="AJ197" s="7">
        <f t="shared" ca="1" si="426"/>
        <v>24404.738785915393</v>
      </c>
      <c r="AK197" s="7">
        <f t="shared" ca="1" si="426"/>
        <v>25598.639541775137</v>
      </c>
      <c r="AL197" s="7">
        <f t="shared" ca="1" si="426"/>
        <v>26723.956592467846</v>
      </c>
      <c r="AM197" s="7">
        <f t="shared" ca="1" si="426"/>
        <v>27868.645326325233</v>
      </c>
      <c r="AN197" s="7">
        <f t="shared" ca="1" si="425"/>
        <v>28793.775765625949</v>
      </c>
      <c r="AO197" s="39"/>
      <c r="AP197" s="160"/>
      <c r="AQ197" s="160"/>
    </row>
    <row r="198" spans="1:48" outlineLevel="1">
      <c r="A198" s="263" t="s">
        <v>145</v>
      </c>
      <c r="B198" s="263" t="s">
        <v>145</v>
      </c>
      <c r="E198" s="45" t="s">
        <v>108</v>
      </c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61">
        <v>1</v>
      </c>
      <c r="T198" s="161">
        <v>1</v>
      </c>
      <c r="U198" s="161">
        <v>1</v>
      </c>
      <c r="V198" s="161">
        <v>1</v>
      </c>
      <c r="W198" s="161">
        <v>1</v>
      </c>
      <c r="X198" s="161">
        <v>1</v>
      </c>
      <c r="Y198" s="161">
        <v>1</v>
      </c>
      <c r="Z198" s="161">
        <v>1</v>
      </c>
      <c r="AA198" s="161">
        <v>1</v>
      </c>
      <c r="AB198" s="161">
        <v>1</v>
      </c>
      <c r="AC198" s="161">
        <v>1</v>
      </c>
      <c r="AD198" s="6">
        <f>AC198</f>
        <v>1</v>
      </c>
      <c r="AE198" s="6">
        <f t="shared" ref="AE198:AN198" si="427">AD198</f>
        <v>1</v>
      </c>
      <c r="AF198" s="6">
        <f t="shared" si="427"/>
        <v>1</v>
      </c>
      <c r="AG198" s="6">
        <f t="shared" si="427"/>
        <v>1</v>
      </c>
      <c r="AH198" s="6">
        <f t="shared" si="427"/>
        <v>1</v>
      </c>
      <c r="AI198" s="6">
        <f t="shared" si="427"/>
        <v>1</v>
      </c>
      <c r="AJ198" s="6">
        <f t="shared" si="427"/>
        <v>1</v>
      </c>
      <c r="AK198" s="6">
        <f t="shared" si="427"/>
        <v>1</v>
      </c>
      <c r="AL198" s="6">
        <f t="shared" si="427"/>
        <v>1</v>
      </c>
      <c r="AM198" s="6">
        <f t="shared" si="427"/>
        <v>1</v>
      </c>
      <c r="AN198" s="6">
        <f t="shared" si="427"/>
        <v>1</v>
      </c>
      <c r="AO198" s="6"/>
    </row>
    <row r="199" spans="1:48" outlineLevel="1">
      <c r="A199" s="263"/>
      <c r="B199" s="263" t="s">
        <v>192</v>
      </c>
      <c r="E199" s="45" t="s">
        <v>262</v>
      </c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61">
        <v>487</v>
      </c>
      <c r="T199" s="161">
        <v>1997</v>
      </c>
      <c r="U199" s="161">
        <v>2054</v>
      </c>
      <c r="V199" s="161">
        <v>2168</v>
      </c>
      <c r="W199" s="161">
        <v>2197</v>
      </c>
      <c r="X199" s="161">
        <v>2288</v>
      </c>
      <c r="Y199" s="161">
        <v>2356</v>
      </c>
      <c r="Z199" s="161">
        <v>2408</v>
      </c>
      <c r="AA199" s="161">
        <v>2440</v>
      </c>
      <c r="AB199" s="161">
        <v>2482</v>
      </c>
      <c r="AC199" s="161">
        <v>2567</v>
      </c>
      <c r="AD199" s="6">
        <f t="shared" ref="AD199:AM199" si="428">AC199+AD148</f>
        <v>2567</v>
      </c>
      <c r="AE199" s="6">
        <f t="shared" si="428"/>
        <v>2567</v>
      </c>
      <c r="AF199" s="6">
        <f t="shared" si="428"/>
        <v>2567</v>
      </c>
      <c r="AG199" s="6">
        <f t="shared" si="428"/>
        <v>2567</v>
      </c>
      <c r="AH199" s="6">
        <f t="shared" si="428"/>
        <v>2567</v>
      </c>
      <c r="AI199" s="6">
        <f t="shared" si="428"/>
        <v>2567</v>
      </c>
      <c r="AJ199" s="6">
        <f t="shared" si="428"/>
        <v>2567</v>
      </c>
      <c r="AK199" s="6">
        <f t="shared" si="428"/>
        <v>2567</v>
      </c>
      <c r="AL199" s="6">
        <f t="shared" si="428"/>
        <v>2567</v>
      </c>
      <c r="AM199" s="6">
        <f t="shared" si="428"/>
        <v>2567</v>
      </c>
      <c r="AN199" s="6">
        <f t="shared" ref="AN199" si="429">AM199+AN148</f>
        <v>2567</v>
      </c>
      <c r="AO199" s="6"/>
    </row>
    <row r="200" spans="1:48" outlineLevel="1">
      <c r="A200" s="263"/>
      <c r="B200" s="263" t="s">
        <v>193</v>
      </c>
      <c r="E200" s="45" t="s">
        <v>193</v>
      </c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61">
        <v>0</v>
      </c>
      <c r="T200" s="161">
        <v>0</v>
      </c>
      <c r="U200" s="161">
        <v>0</v>
      </c>
      <c r="V200" s="161">
        <v>0</v>
      </c>
      <c r="W200" s="161">
        <v>0</v>
      </c>
      <c r="X200" s="161">
        <v>0</v>
      </c>
      <c r="Y200" s="161">
        <v>0</v>
      </c>
      <c r="Z200" s="161">
        <v>0</v>
      </c>
      <c r="AA200" s="161">
        <v>0</v>
      </c>
      <c r="AB200" s="161">
        <v>0</v>
      </c>
      <c r="AC200" s="161">
        <v>0</v>
      </c>
      <c r="AD200" s="6">
        <f>AC200</f>
        <v>0</v>
      </c>
      <c r="AE200" s="6">
        <f>AD200</f>
        <v>0</v>
      </c>
      <c r="AF200" s="6">
        <f>AE200</f>
        <v>0</v>
      </c>
      <c r="AG200" s="6">
        <f t="shared" ref="AG200:AN200" si="430">AF200</f>
        <v>0</v>
      </c>
      <c r="AH200" s="6">
        <f t="shared" si="430"/>
        <v>0</v>
      </c>
      <c r="AI200" s="6">
        <f t="shared" si="430"/>
        <v>0</v>
      </c>
      <c r="AJ200" s="6">
        <f t="shared" si="430"/>
        <v>0</v>
      </c>
      <c r="AK200" s="6">
        <f t="shared" si="430"/>
        <v>0</v>
      </c>
      <c r="AL200" s="6">
        <f t="shared" si="430"/>
        <v>0</v>
      </c>
      <c r="AM200" s="6">
        <f t="shared" si="430"/>
        <v>0</v>
      </c>
      <c r="AN200" s="6">
        <f t="shared" si="430"/>
        <v>0</v>
      </c>
      <c r="AO200" s="6"/>
    </row>
    <row r="201" spans="1:48" outlineLevel="1">
      <c r="A201" s="263" t="s">
        <v>109</v>
      </c>
      <c r="B201" s="263" t="s">
        <v>109</v>
      </c>
      <c r="E201" s="45" t="s">
        <v>109</v>
      </c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61">
        <f>39-499+75</f>
        <v>-385</v>
      </c>
      <c r="T201" s="161">
        <f>31-424-115+84</f>
        <v>-424</v>
      </c>
      <c r="U201" s="161">
        <f>-37-209+19+20</f>
        <v>-207</v>
      </c>
      <c r="V201" s="161">
        <f>503-802-74+2</f>
        <v>-371</v>
      </c>
      <c r="W201" s="161">
        <f>1088-1560-250</f>
        <v>-722</v>
      </c>
      <c r="X201" s="161">
        <f>1654-2077-218</f>
        <v>-641</v>
      </c>
      <c r="Y201" s="161">
        <f>3005-2105-151</f>
        <v>749</v>
      </c>
      <c r="Z201" s="161">
        <f>4101-2870-237</f>
        <v>994</v>
      </c>
      <c r="AA201" s="161">
        <f>5275-3700-186</f>
        <v>1389</v>
      </c>
      <c r="AB201" s="161">
        <f>6165-3957-146</f>
        <v>2062</v>
      </c>
      <c r="AC201" s="161">
        <f>-171+7551-3957</f>
        <v>3423</v>
      </c>
      <c r="AD201" s="62">
        <f ca="1">AC201+AD165+AD124+AD164</f>
        <v>4275.6255161764602</v>
      </c>
      <c r="AE201" s="62">
        <f t="shared" ref="AE201:AN201" ca="1" si="431">AD201+AE165+AE124+AE164</f>
        <v>5452.0178986067776</v>
      </c>
      <c r="AF201" s="62">
        <f t="shared" ca="1" si="431"/>
        <v>6813.3011110384796</v>
      </c>
      <c r="AG201" s="62">
        <f t="shared" ca="1" si="431"/>
        <v>8379.5125013804354</v>
      </c>
      <c r="AH201" s="62">
        <f t="shared" ca="1" si="431"/>
        <v>9681.6665198610008</v>
      </c>
      <c r="AI201" s="62">
        <f t="shared" ca="1" si="431"/>
        <v>10725.71596224992</v>
      </c>
      <c r="AJ201" s="62">
        <f t="shared" ca="1" si="431"/>
        <v>11802.105605250403</v>
      </c>
      <c r="AK201" s="62">
        <f t="shared" ca="1" si="431"/>
        <v>12922.118020199725</v>
      </c>
      <c r="AL201" s="62">
        <f t="shared" ca="1" si="431"/>
        <v>13560.450977742099</v>
      </c>
      <c r="AM201" s="62">
        <f t="shared" ca="1" si="431"/>
        <v>14228.067169080747</v>
      </c>
      <c r="AN201" s="62">
        <f t="shared" ca="1" si="431"/>
        <v>14850.21289992864</v>
      </c>
      <c r="AO201" s="6"/>
    </row>
    <row r="202" spans="1:48" outlineLevel="1">
      <c r="A202" s="263" t="s">
        <v>76</v>
      </c>
      <c r="B202" s="263"/>
      <c r="E202" s="45" t="s">
        <v>76</v>
      </c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61">
        <v>0</v>
      </c>
      <c r="T202" s="161">
        <v>0</v>
      </c>
      <c r="U202" s="161">
        <v>0</v>
      </c>
      <c r="V202" s="161">
        <v>0</v>
      </c>
      <c r="W202" s="161">
        <v>0</v>
      </c>
      <c r="X202" s="161">
        <v>0</v>
      </c>
      <c r="Y202" s="161">
        <v>0</v>
      </c>
      <c r="Z202" s="161">
        <v>0</v>
      </c>
      <c r="AA202" s="161">
        <v>0</v>
      </c>
      <c r="AB202" s="161">
        <v>0</v>
      </c>
      <c r="AC202" s="161">
        <v>0</v>
      </c>
      <c r="AD202" s="6">
        <f>AC202</f>
        <v>0</v>
      </c>
      <c r="AE202" s="6">
        <f>AD202</f>
        <v>0</v>
      </c>
      <c r="AF202" s="6">
        <f>AE202</f>
        <v>0</v>
      </c>
      <c r="AG202" s="6">
        <f t="shared" ref="AG202" si="432">AF202</f>
        <v>0</v>
      </c>
      <c r="AH202" s="6">
        <f t="shared" ref="AH202" si="433">AG202</f>
        <v>0</v>
      </c>
      <c r="AI202" s="6">
        <f t="shared" ref="AI202" si="434">AH202</f>
        <v>0</v>
      </c>
      <c r="AJ202" s="6">
        <f t="shared" ref="AJ202" si="435">AI202</f>
        <v>0</v>
      </c>
      <c r="AK202" s="6">
        <f t="shared" ref="AK202" si="436">AJ202</f>
        <v>0</v>
      </c>
      <c r="AL202" s="6">
        <f t="shared" ref="AL202" si="437">AK202</f>
        <v>0</v>
      </c>
      <c r="AM202" s="6">
        <f t="shared" ref="AM202" si="438">AL202</f>
        <v>0</v>
      </c>
      <c r="AN202" s="6">
        <f t="shared" ref="AN202" si="439">AM202</f>
        <v>0</v>
      </c>
      <c r="AO202" s="6"/>
      <c r="AP202" s="6"/>
      <c r="AQ202" s="6"/>
      <c r="AR202" s="6"/>
    </row>
    <row r="203" spans="1:48" s="3" customFormat="1" outlineLevel="1">
      <c r="A203" s="263"/>
      <c r="B203" s="263"/>
      <c r="C203" s="96"/>
      <c r="E203" s="2" t="s">
        <v>110</v>
      </c>
      <c r="F203" s="2"/>
      <c r="G203" s="2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>
        <f t="shared" ref="S203:Y203" si="440">SUM(S197:S202)</f>
        <v>4143</v>
      </c>
      <c r="T203" s="7">
        <f t="shared" si="440"/>
        <v>11026</v>
      </c>
      <c r="U203" s="7">
        <f t="shared" si="440"/>
        <v>11231</v>
      </c>
      <c r="V203" s="7">
        <f t="shared" si="440"/>
        <v>12467</v>
      </c>
      <c r="W203" s="7">
        <f t="shared" si="440"/>
        <v>12083</v>
      </c>
      <c r="X203" s="7">
        <f t="shared" si="440"/>
        <v>11988</v>
      </c>
      <c r="Y203" s="7">
        <f t="shared" si="440"/>
        <v>15030</v>
      </c>
      <c r="Z203" s="7">
        <f t="shared" ref="Z203:AC203" si="441">SUM(Z197:Z202)</f>
        <v>18133</v>
      </c>
      <c r="AA203" s="7">
        <f t="shared" si="441"/>
        <v>18970</v>
      </c>
      <c r="AB203" s="7">
        <f t="shared" si="441"/>
        <v>17868</v>
      </c>
      <c r="AC203" s="7">
        <f t="shared" si="441"/>
        <v>20292</v>
      </c>
      <c r="AD203" s="7">
        <f t="shared" ref="AD203:AN203" ca="1" si="442">SUM(AD197:AD202)</f>
        <v>23213.598375877369</v>
      </c>
      <c r="AE203" s="7">
        <f t="shared" ca="1" si="442"/>
        <v>26666.233682462625</v>
      </c>
      <c r="AF203" s="7">
        <f t="shared" ca="1" si="442"/>
        <v>29210.474311075981</v>
      </c>
      <c r="AG203" s="7">
        <f t="shared" ca="1" si="442"/>
        <v>31921.768596460133</v>
      </c>
      <c r="AH203" s="7">
        <f t="shared" ca="1" si="442"/>
        <v>34401.529882915187</v>
      </c>
      <c r="AI203" s="7">
        <f t="shared" ca="1" si="442"/>
        <v>36562.400738857716</v>
      </c>
      <c r="AJ203" s="7">
        <f t="shared" ca="1" si="442"/>
        <v>38774.844391165796</v>
      </c>
      <c r="AK203" s="7">
        <f t="shared" ca="1" si="442"/>
        <v>41088.75756197486</v>
      </c>
      <c r="AL203" s="7">
        <f t="shared" ca="1" si="442"/>
        <v>42852.407570209944</v>
      </c>
      <c r="AM203" s="7">
        <f t="shared" ca="1" si="442"/>
        <v>44664.712495405984</v>
      </c>
      <c r="AN203" s="7">
        <f t="shared" ca="1" si="442"/>
        <v>46211.988665554585</v>
      </c>
      <c r="AO203" s="39"/>
      <c r="AP203" s="160">
        <f ca="1">+(AM203/AC203)^(0.1)-1</f>
        <v>8.2091458430158637E-2</v>
      </c>
      <c r="AQ203" s="160">
        <f t="shared" ref="AQ203" si="443">+(AC203/S203)^(1/10)-1</f>
        <v>0.17219804313180465</v>
      </c>
    </row>
    <row r="204" spans="1:48" s="66" customFormat="1" outlineLevel="1">
      <c r="A204" s="266"/>
      <c r="B204" s="266"/>
      <c r="C204" s="98"/>
      <c r="E204" s="57" t="s">
        <v>79</v>
      </c>
      <c r="F204" s="64"/>
      <c r="G204" s="64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58" t="b">
        <f t="shared" ref="S204:T204" si="444">ABS(S203-S185)&lt;1</f>
        <v>1</v>
      </c>
      <c r="T204" s="58" t="b">
        <f t="shared" si="444"/>
        <v>1</v>
      </c>
      <c r="U204" s="58" t="b">
        <f t="shared" ref="U204:V204" si="445">ABS(U203-U185)&lt;1</f>
        <v>1</v>
      </c>
      <c r="V204" s="58" t="b">
        <f t="shared" si="445"/>
        <v>1</v>
      </c>
      <c r="W204" s="58" t="b">
        <f t="shared" ref="W204:X204" si="446">ABS(W203-W185)&lt;1</f>
        <v>1</v>
      </c>
      <c r="X204" s="58" t="b">
        <f t="shared" si="446"/>
        <v>1</v>
      </c>
      <c r="Y204" s="58" t="b">
        <f t="shared" ref="Y204:AC204" si="447">ABS(Y203-Y185)&lt;1</f>
        <v>1</v>
      </c>
      <c r="Z204" s="58" t="b">
        <f t="shared" si="447"/>
        <v>1</v>
      </c>
      <c r="AA204" s="58" t="b">
        <f t="shared" si="447"/>
        <v>1</v>
      </c>
      <c r="AB204" s="58" t="b">
        <f t="shared" si="447"/>
        <v>1</v>
      </c>
      <c r="AC204" s="58" t="b">
        <f t="shared" si="447"/>
        <v>1</v>
      </c>
      <c r="AD204" s="58" t="b">
        <f t="shared" ref="AD204" ca="1" si="448">ABS(AD203-AD185)&lt;1</f>
        <v>1</v>
      </c>
      <c r="AE204" s="58" t="b">
        <f t="shared" ref="AE204:AN204" ca="1" si="449">ABS(AE203-AE185)&lt;1</f>
        <v>1</v>
      </c>
      <c r="AF204" s="58" t="b">
        <f t="shared" ca="1" si="449"/>
        <v>1</v>
      </c>
      <c r="AG204" s="58" t="b">
        <f t="shared" ca="1" si="449"/>
        <v>1</v>
      </c>
      <c r="AH204" s="58" t="b">
        <f t="shared" ca="1" si="449"/>
        <v>1</v>
      </c>
      <c r="AI204" s="58" t="b">
        <f t="shared" ca="1" si="449"/>
        <v>1</v>
      </c>
      <c r="AJ204" s="58" t="b">
        <f t="shared" ca="1" si="449"/>
        <v>1</v>
      </c>
      <c r="AK204" s="58" t="b">
        <f t="shared" ca="1" si="449"/>
        <v>1</v>
      </c>
      <c r="AL204" s="58" t="b">
        <f t="shared" ca="1" si="449"/>
        <v>1</v>
      </c>
      <c r="AM204" s="58" t="b">
        <f t="shared" ca="1" si="449"/>
        <v>1</v>
      </c>
      <c r="AN204" s="58" t="b">
        <f t="shared" ca="1" si="449"/>
        <v>1</v>
      </c>
      <c r="AO204" s="65"/>
    </row>
    <row r="205" spans="1:48" outlineLevel="1">
      <c r="E205" s="45" t="s">
        <v>324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63">
        <f t="shared" ref="S205" si="450">+S203-S185</f>
        <v>0</v>
      </c>
      <c r="T205" s="63">
        <f t="shared" ref="T205:U205" si="451">+T203-T185</f>
        <v>0</v>
      </c>
      <c r="U205" s="63">
        <f t="shared" si="451"/>
        <v>0</v>
      </c>
      <c r="V205" s="63">
        <f t="shared" ref="V205:W205" si="452">+V203-V185</f>
        <v>0</v>
      </c>
      <c r="W205" s="63">
        <f t="shared" si="452"/>
        <v>0</v>
      </c>
      <c r="X205" s="63">
        <f t="shared" ref="X205" si="453">+X203-X185</f>
        <v>0</v>
      </c>
      <c r="Y205" s="63">
        <f t="shared" ref="Y205" si="454">+Y203-Y185</f>
        <v>0</v>
      </c>
      <c r="Z205" s="63">
        <f t="shared" ref="Z205" si="455">+Z203-Z185</f>
        <v>0</v>
      </c>
      <c r="AA205" s="63">
        <f t="shared" ref="AA205" si="456">+AA203-AA185</f>
        <v>0</v>
      </c>
      <c r="AB205" s="63">
        <f t="shared" ref="AB205" si="457">+AB203-AB185</f>
        <v>0</v>
      </c>
      <c r="AC205" s="63">
        <f t="shared" ref="AC205" si="458">+AC203-AC185</f>
        <v>0</v>
      </c>
      <c r="AD205" s="63">
        <f t="shared" ref="AD205:AN205" ca="1" si="459">+AD203-AD185</f>
        <v>0</v>
      </c>
      <c r="AE205" s="63">
        <f t="shared" ca="1" si="459"/>
        <v>0</v>
      </c>
      <c r="AF205" s="63">
        <f t="shared" ca="1" si="459"/>
        <v>0</v>
      </c>
      <c r="AG205" s="63">
        <f t="shared" ca="1" si="459"/>
        <v>0</v>
      </c>
      <c r="AH205" s="63">
        <f t="shared" ca="1" si="459"/>
        <v>0</v>
      </c>
      <c r="AI205" s="63">
        <f t="shared" ca="1" si="459"/>
        <v>0</v>
      </c>
      <c r="AJ205" s="63">
        <f t="shared" ca="1" si="459"/>
        <v>0</v>
      </c>
      <c r="AK205" s="63">
        <f t="shared" ca="1" si="459"/>
        <v>0</v>
      </c>
      <c r="AL205" s="63">
        <f t="shared" ca="1" si="459"/>
        <v>0</v>
      </c>
      <c r="AM205" s="63">
        <f t="shared" ca="1" si="459"/>
        <v>0</v>
      </c>
      <c r="AN205" s="63">
        <f t="shared" ca="1" si="459"/>
        <v>0</v>
      </c>
      <c r="AO205" s="6"/>
      <c r="AP205" s="66"/>
      <c r="AQ205" s="66"/>
      <c r="AR205" s="66"/>
      <c r="AS205" s="66"/>
      <c r="AT205" s="66"/>
    </row>
    <row r="206" spans="1:48" outlineLevel="1">
      <c r="E206" s="45" t="s">
        <v>325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63">
        <f t="shared" ref="S206:AN206" si="460">+S205-R205</f>
        <v>0</v>
      </c>
      <c r="T206" s="63">
        <f t="shared" si="460"/>
        <v>0</v>
      </c>
      <c r="U206" s="63">
        <f t="shared" si="460"/>
        <v>0</v>
      </c>
      <c r="V206" s="63">
        <f t="shared" si="460"/>
        <v>0</v>
      </c>
      <c r="W206" s="63">
        <f t="shared" si="460"/>
        <v>0</v>
      </c>
      <c r="X206" s="63">
        <f t="shared" si="460"/>
        <v>0</v>
      </c>
      <c r="Y206" s="63">
        <f t="shared" si="460"/>
        <v>0</v>
      </c>
      <c r="Z206" s="63">
        <f t="shared" si="460"/>
        <v>0</v>
      </c>
      <c r="AA206" s="63">
        <f t="shared" si="460"/>
        <v>0</v>
      </c>
      <c r="AB206" s="63">
        <f t="shared" si="460"/>
        <v>0</v>
      </c>
      <c r="AC206" s="63">
        <f t="shared" si="460"/>
        <v>0</v>
      </c>
      <c r="AD206" s="63">
        <f t="shared" ca="1" si="460"/>
        <v>0</v>
      </c>
      <c r="AE206" s="63">
        <f t="shared" ca="1" si="460"/>
        <v>0</v>
      </c>
      <c r="AF206" s="63">
        <f t="shared" ca="1" si="460"/>
        <v>0</v>
      </c>
      <c r="AG206" s="63">
        <f t="shared" ca="1" si="460"/>
        <v>0</v>
      </c>
      <c r="AH206" s="63">
        <f t="shared" ca="1" si="460"/>
        <v>0</v>
      </c>
      <c r="AI206" s="63">
        <f t="shared" ca="1" si="460"/>
        <v>0</v>
      </c>
      <c r="AJ206" s="63">
        <f t="shared" ca="1" si="460"/>
        <v>0</v>
      </c>
      <c r="AK206" s="63">
        <f t="shared" ca="1" si="460"/>
        <v>0</v>
      </c>
      <c r="AL206" s="63">
        <f t="shared" ca="1" si="460"/>
        <v>0</v>
      </c>
      <c r="AM206" s="63">
        <f t="shared" ca="1" si="460"/>
        <v>0</v>
      </c>
      <c r="AN206" s="63">
        <f t="shared" ca="1" si="460"/>
        <v>0</v>
      </c>
      <c r="AO206" s="6"/>
      <c r="AP206" s="66"/>
      <c r="AQ206" s="43"/>
      <c r="AR206" s="43"/>
      <c r="AS206" s="43"/>
      <c r="AT206" s="43"/>
      <c r="AU206" s="43"/>
      <c r="AV206" s="43"/>
    </row>
    <row r="207" spans="1:48" outlineLevel="1">
      <c r="E207" s="45" t="s">
        <v>326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63">
        <f t="shared" ref="S207:AD207" si="461">+S206/2</f>
        <v>0</v>
      </c>
      <c r="T207" s="63">
        <f t="shared" si="461"/>
        <v>0</v>
      </c>
      <c r="U207" s="63">
        <f t="shared" si="461"/>
        <v>0</v>
      </c>
      <c r="V207" s="63">
        <f t="shared" si="461"/>
        <v>0</v>
      </c>
      <c r="W207" s="63">
        <f t="shared" si="461"/>
        <v>0</v>
      </c>
      <c r="X207" s="63">
        <f t="shared" si="461"/>
        <v>0</v>
      </c>
      <c r="Y207" s="63">
        <f t="shared" si="461"/>
        <v>0</v>
      </c>
      <c r="Z207" s="63">
        <f t="shared" si="461"/>
        <v>0</v>
      </c>
      <c r="AA207" s="63">
        <f t="shared" si="461"/>
        <v>0</v>
      </c>
      <c r="AB207" s="63">
        <f t="shared" si="461"/>
        <v>0</v>
      </c>
      <c r="AC207" s="63">
        <f t="shared" si="461"/>
        <v>0</v>
      </c>
      <c r="AD207" s="63">
        <f t="shared" ca="1" si="461"/>
        <v>0</v>
      </c>
      <c r="AE207" s="63">
        <f t="shared" ref="AE207:AN207" ca="1" si="462">+AE206/2</f>
        <v>0</v>
      </c>
      <c r="AF207" s="63">
        <f t="shared" ca="1" si="462"/>
        <v>0</v>
      </c>
      <c r="AG207" s="63">
        <f t="shared" ca="1" si="462"/>
        <v>0</v>
      </c>
      <c r="AH207" s="63">
        <f t="shared" ca="1" si="462"/>
        <v>0</v>
      </c>
      <c r="AI207" s="63">
        <f t="shared" ca="1" si="462"/>
        <v>0</v>
      </c>
      <c r="AJ207" s="63">
        <f t="shared" ca="1" si="462"/>
        <v>0</v>
      </c>
      <c r="AK207" s="63">
        <f t="shared" ca="1" si="462"/>
        <v>0</v>
      </c>
      <c r="AL207" s="63">
        <f t="shared" ca="1" si="462"/>
        <v>0</v>
      </c>
      <c r="AM207" s="63">
        <f t="shared" ca="1" si="462"/>
        <v>0</v>
      </c>
      <c r="AN207" s="63">
        <f t="shared" ca="1" si="462"/>
        <v>0</v>
      </c>
      <c r="AO207" s="6"/>
      <c r="AP207" s="66"/>
      <c r="AQ207" s="43"/>
      <c r="AR207" s="43"/>
    </row>
    <row r="208" spans="1:48" outlineLevel="1">
      <c r="E208" s="45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6"/>
      <c r="AP208" s="66"/>
      <c r="AQ208" s="43"/>
      <c r="AR208" s="43"/>
    </row>
    <row r="209" spans="1:46" outlineLevel="1">
      <c r="E209" t="s">
        <v>111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6"/>
      <c r="R209" s="6"/>
      <c r="S209" s="6">
        <f t="shared" ref="S209" si="463">SUM(S175:S177)-SUM(S188:S191)</f>
        <v>218</v>
      </c>
      <c r="T209" s="6">
        <f t="shared" ref="T209" si="464">SUM(T175:T177)-SUM(T188:T191)</f>
        <v>516</v>
      </c>
      <c r="U209" s="6">
        <f t="shared" ref="U209" si="465">SUM(U175:U177)-SUM(U188:U191)</f>
        <v>505</v>
      </c>
      <c r="V209" s="6">
        <f t="shared" ref="V209:W209" si="466">SUM(V175:V177)-SUM(V188:V191)</f>
        <v>528</v>
      </c>
      <c r="W209" s="6">
        <f t="shared" si="466"/>
        <v>489</v>
      </c>
      <c r="X209" s="6">
        <f t="shared" ref="X209" si="467">SUM(X175:X177)-SUM(X188:X191)</f>
        <v>462</v>
      </c>
      <c r="Y209" s="6">
        <f t="shared" ref="Y209" si="468">SUM(Y175:Y177)-SUM(Y188:Y191)</f>
        <v>475</v>
      </c>
      <c r="Z209" s="6">
        <f t="shared" ref="Z209:AC209" si="469">SUM(Z175:Z177)-SUM(Z188:Z191)</f>
        <v>505</v>
      </c>
      <c r="AA209" s="6">
        <f t="shared" si="469"/>
        <v>589</v>
      </c>
      <c r="AB209" s="6">
        <f t="shared" si="469"/>
        <v>629</v>
      </c>
      <c r="AC209" s="6">
        <f t="shared" si="469"/>
        <v>310</v>
      </c>
      <c r="AD209" s="6">
        <f t="shared" ref="AD209" si="470">AD104*AD210</f>
        <v>318.08015027392634</v>
      </c>
      <c r="AE209" s="6">
        <f t="shared" ref="AE209" ca="1" si="471">AE104*AE210</f>
        <v>372.81812115208203</v>
      </c>
      <c r="AF209" s="6">
        <f t="shared" ref="AF209:AN209" ca="1" si="472">AF104*AF210</f>
        <v>390.47147940649131</v>
      </c>
      <c r="AG209" s="6">
        <f t="shared" ca="1" si="472"/>
        <v>407.45846106301258</v>
      </c>
      <c r="AH209" s="6">
        <f t="shared" ca="1" si="472"/>
        <v>427.28396028541312</v>
      </c>
      <c r="AI209" s="6">
        <f t="shared" ca="1" si="472"/>
        <v>446.7832295462045</v>
      </c>
      <c r="AJ209" s="6">
        <f t="shared" ca="1" si="472"/>
        <v>469.7910274303544</v>
      </c>
      <c r="AK209" s="6">
        <f t="shared" ca="1" si="472"/>
        <v>492.83900466908307</v>
      </c>
      <c r="AL209" s="6">
        <f t="shared" ca="1" si="472"/>
        <v>511.68224578021449</v>
      </c>
      <c r="AM209" s="6">
        <f t="shared" ca="1" si="472"/>
        <v>530.20152985882351</v>
      </c>
      <c r="AN209" s="6">
        <f t="shared" ca="1" si="472"/>
        <v>548.3991036773682</v>
      </c>
      <c r="AO209" s="6"/>
      <c r="AP209" s="160">
        <f ca="1">+(AM209/AC209)^(0.1)-1</f>
        <v>5.5134754527083052E-2</v>
      </c>
      <c r="AQ209" s="160">
        <f t="shared" ref="AQ209" si="473">+(AC209/S209)^(1/10)-1</f>
        <v>3.5834853662655597E-2</v>
      </c>
      <c r="AR209" s="43"/>
    </row>
    <row r="210" spans="1:46" outlineLevel="1">
      <c r="E210" t="s">
        <v>179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60"/>
      <c r="R210" s="60"/>
      <c r="S210" s="60">
        <f t="shared" ref="S210" si="474">IFERROR(+S209/(S104),"na")</f>
        <v>8.3492914592110307E-2</v>
      </c>
      <c r="T210" s="60">
        <f t="shared" ref="T210" si="475">IFERROR(+T209/(T104),"na")</f>
        <v>0.12533398105416566</v>
      </c>
      <c r="U210" s="60">
        <f t="shared" ref="U210" si="476">IFERROR(+U209/(U104),"na")</f>
        <v>0.10191725529767912</v>
      </c>
      <c r="V210" s="60">
        <f t="shared" ref="V210:W210" si="477">IFERROR(+V209/(V104),"na")</f>
        <v>9.2875989445910287E-2</v>
      </c>
      <c r="W210" s="60">
        <f t="shared" si="477"/>
        <v>8.4063950489943265E-2</v>
      </c>
      <c r="X210" s="60">
        <f t="shared" ref="X210" si="478">IFERROR(+X209/(X104),"na")</f>
        <v>8.018049288441513E-2</v>
      </c>
      <c r="Y210" s="60">
        <f t="shared" ref="Y210" si="479">IFERROR(+Y209/(Y104),"na")</f>
        <v>7.1525372684836622E-2</v>
      </c>
      <c r="Z210" s="60">
        <f t="shared" ref="Z210:AC210" si="480">IFERROR(+Z209/(Z104),"na")</f>
        <v>6.2756306698148384E-2</v>
      </c>
      <c r="AA210" s="60">
        <f t="shared" si="480"/>
        <v>6.2987915730937871E-2</v>
      </c>
      <c r="AB210" s="60">
        <f t="shared" si="480"/>
        <v>7.3739742086752644E-2</v>
      </c>
      <c r="AC210" s="60">
        <f t="shared" si="480"/>
        <v>3.1906134211609719E-2</v>
      </c>
      <c r="AD210" s="188">
        <v>2.8000000000000001E-2</v>
      </c>
      <c r="AE210" s="188">
        <v>0.03</v>
      </c>
      <c r="AF210" s="188">
        <f>+AE210-0.00033</f>
        <v>2.9669999999999998E-2</v>
      </c>
      <c r="AG210" s="188">
        <f t="shared" ref="AG210:AN210" si="481">+AF210-0.00033</f>
        <v>2.9339999999999998E-2</v>
      </c>
      <c r="AH210" s="188">
        <f t="shared" si="481"/>
        <v>2.9009999999999998E-2</v>
      </c>
      <c r="AI210" s="188">
        <f t="shared" si="481"/>
        <v>2.8679999999999997E-2</v>
      </c>
      <c r="AJ210" s="188">
        <f t="shared" si="481"/>
        <v>2.8349999999999997E-2</v>
      </c>
      <c r="AK210" s="188">
        <f t="shared" si="481"/>
        <v>2.8019999999999996E-2</v>
      </c>
      <c r="AL210" s="188">
        <f t="shared" si="481"/>
        <v>2.7689999999999996E-2</v>
      </c>
      <c r="AM210" s="188">
        <f t="shared" si="481"/>
        <v>2.7359999999999995E-2</v>
      </c>
      <c r="AN210" s="188">
        <f t="shared" si="481"/>
        <v>2.7029999999999995E-2</v>
      </c>
      <c r="AO210" s="6"/>
      <c r="AP210" s="43"/>
      <c r="AQ210" s="43"/>
      <c r="AR210" s="43"/>
      <c r="AS210" s="15">
        <f>+AVERAGE(AD210:AM210)</f>
        <v>2.8611999999999999E-2</v>
      </c>
      <c r="AT210" s="15">
        <f>+AVERAGE(T210:AC210)</f>
        <v>7.8728714058439869E-2</v>
      </c>
    </row>
    <row r="211" spans="1:46" outlineLevel="1">
      <c r="E211" s="45" t="s">
        <v>239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60"/>
      <c r="R211" s="60"/>
      <c r="S211" s="60">
        <f t="shared" ref="S211" si="482">(S175-S188)/(S104)</f>
        <v>9.8812715434699355E-2</v>
      </c>
      <c r="T211" s="60">
        <f t="shared" ref="T211" si="483">(T175-T188)/(T104)</f>
        <v>0.12314792324508136</v>
      </c>
      <c r="U211" s="60">
        <f t="shared" ref="U211" si="484">(U175-U188)/(U104)</f>
        <v>0.10332996972754793</v>
      </c>
      <c r="V211" s="60">
        <f t="shared" ref="V211:W211" si="485">(V175-V188)/(V104)</f>
        <v>0.11521547933157432</v>
      </c>
      <c r="W211" s="60">
        <f t="shared" si="485"/>
        <v>0.11328863675434073</v>
      </c>
      <c r="X211" s="60">
        <f t="shared" ref="X211" si="486">(X175-X188)/(X104)</f>
        <v>0.11749392572023602</v>
      </c>
      <c r="Y211" s="60">
        <f t="shared" ref="Y211" si="487">(Y175-Y188)/(Y104)</f>
        <v>0.12407769914169553</v>
      </c>
      <c r="Z211" s="60">
        <f t="shared" ref="Z211:AN211" si="488">(Z175-Z188)/(Z104)</f>
        <v>0.125388343482043</v>
      </c>
      <c r="AA211" s="60">
        <f t="shared" si="488"/>
        <v>0.11506790717570313</v>
      </c>
      <c r="AB211" s="60">
        <f t="shared" si="488"/>
        <v>9.9531066822977729E-2</v>
      </c>
      <c r="AC211" s="60">
        <f t="shared" si="488"/>
        <v>8.861671469740634E-2</v>
      </c>
      <c r="AD211" s="60">
        <f t="shared" ref="AD211" si="489">(AD175-AD188)/(AD104)</f>
        <v>7.6386546261402649E-2</v>
      </c>
      <c r="AE211" s="60">
        <f t="shared" ref="AE211" ca="1" si="490">(AE175-AE188)/(AE104)</f>
        <v>7.3506830564658066E-2</v>
      </c>
      <c r="AF211" s="60">
        <f t="shared" ca="1" si="488"/>
        <v>7.0532374626413652E-2</v>
      </c>
      <c r="AG211" s="60">
        <f t="shared" ca="1" si="488"/>
        <v>6.7862158468071851E-2</v>
      </c>
      <c r="AH211" s="60">
        <f t="shared" ca="1" si="488"/>
        <v>6.5110280381471611E-2</v>
      </c>
      <c r="AI211" s="60">
        <f t="shared" ca="1" si="488"/>
        <v>6.2606188354339065E-2</v>
      </c>
      <c r="AJ211" s="60">
        <f t="shared" ca="1" si="488"/>
        <v>6.0015131190353094E-2</v>
      </c>
      <c r="AK211" s="60">
        <f t="shared" ca="1" si="488"/>
        <v>5.7637478711861048E-2</v>
      </c>
      <c r="AL211" s="60">
        <f t="shared" ca="1" si="488"/>
        <v>5.5713149204224807E-2</v>
      </c>
      <c r="AM211" s="60">
        <f t="shared" ca="1" si="488"/>
        <v>5.3924897605307907E-2</v>
      </c>
      <c r="AN211" s="60">
        <f t="shared" ca="1" si="488"/>
        <v>5.2256135881177841E-2</v>
      </c>
      <c r="AO211" s="6"/>
      <c r="AP211" s="43"/>
      <c r="AQ211" s="43"/>
      <c r="AR211" s="43"/>
      <c r="AS211" s="15">
        <f ca="1">+AVERAGE(AD211:AM211)</f>
        <v>6.432950353681037E-2</v>
      </c>
      <c r="AT211" s="15">
        <f>+AVERAGE(T211:AC211)</f>
        <v>0.1125157666098606</v>
      </c>
    </row>
    <row r="212" spans="1:46" outlineLevel="1">
      <c r="E212" s="45" t="s">
        <v>241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60"/>
      <c r="R212" s="60"/>
      <c r="S212" s="60">
        <f t="shared" ref="S212" si="491">S176/(S8)</f>
        <v>0.22222222222222221</v>
      </c>
      <c r="T212" s="60">
        <f t="shared" ref="T212" si="492">T176/(T8)</f>
        <v>0.25468164794007492</v>
      </c>
      <c r="U212" s="60">
        <f t="shared" ref="U212" si="493">U176/(U8)</f>
        <v>0.21406727828746178</v>
      </c>
      <c r="V212" s="60">
        <f t="shared" ref="V212:W212" si="494">V176/(V8)</f>
        <v>0.1306532663316583</v>
      </c>
      <c r="W212" s="60">
        <f t="shared" si="494"/>
        <v>9.7457627118644072E-2</v>
      </c>
      <c r="X212" s="60">
        <f t="shared" ref="X212" si="495">X176/(X8)</f>
        <v>8.7741935483870964E-2</v>
      </c>
      <c r="Y212" s="60">
        <f t="shared" ref="Y212" si="496">Y176/(Y8)</f>
        <v>7.5910931174089064E-2</v>
      </c>
      <c r="Z212" s="60">
        <f t="shared" ref="Z212:AN212" si="497">Z176/(Z8)</f>
        <v>7.8417266187050361E-2</v>
      </c>
      <c r="AA212" s="60">
        <f t="shared" si="497"/>
        <v>6.8104426787741201E-2</v>
      </c>
      <c r="AB212" s="60">
        <f t="shared" si="497"/>
        <v>7.4940047961630701E-2</v>
      </c>
      <c r="AC212" s="60">
        <f t="shared" si="497"/>
        <v>7.6887013595874354E-2</v>
      </c>
      <c r="AD212" s="60">
        <f t="shared" si="497"/>
        <v>7.525001511567371E-2</v>
      </c>
      <c r="AE212" s="60">
        <f t="shared" ca="1" si="497"/>
        <v>6.7039932753619594E-2</v>
      </c>
      <c r="AF212" s="60">
        <f t="shared" ca="1" si="497"/>
        <v>6.1021625216063198E-2</v>
      </c>
      <c r="AG212" s="60">
        <f t="shared" ca="1" si="497"/>
        <v>5.5854325040886846E-2</v>
      </c>
      <c r="AH212" s="60">
        <f t="shared" ca="1" si="497"/>
        <v>5.0978661495683746E-2</v>
      </c>
      <c r="AI212" s="60">
        <f t="shared" ca="1" si="497"/>
        <v>4.6739319041421576E-2</v>
      </c>
      <c r="AJ212" s="60">
        <f t="shared" ca="1" si="497"/>
        <v>4.2698980520687595E-2</v>
      </c>
      <c r="AK212" s="60">
        <f t="shared" ca="1" si="497"/>
        <v>3.9155884013658271E-2</v>
      </c>
      <c r="AL212" s="60">
        <f t="shared" ca="1" si="497"/>
        <v>3.6303954774982404E-2</v>
      </c>
      <c r="AM212" s="60">
        <f t="shared" ca="1" si="497"/>
        <v>3.3762388363273756E-2</v>
      </c>
      <c r="AN212" s="60">
        <f t="shared" ca="1" si="497"/>
        <v>3.1486394738707554E-2</v>
      </c>
      <c r="AO212" s="6"/>
      <c r="AP212" s="43"/>
      <c r="AQ212" s="43"/>
      <c r="AR212" s="43"/>
      <c r="AS212" s="15">
        <f ca="1">+AVERAGE(AD212:AM212)</f>
        <v>5.088050863359507E-2</v>
      </c>
      <c r="AT212" s="15">
        <f>+AVERAGE(T212:AC212)</f>
        <v>0.11588614408680957</v>
      </c>
    </row>
    <row r="213" spans="1:46" outlineLevel="1">
      <c r="E213" s="45" t="s">
        <v>240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60"/>
      <c r="R213" s="60"/>
      <c r="S213" s="60">
        <f t="shared" ref="S213" si="498">(S177-S190-S191)/(S104)</f>
        <v>-3.2171581769436998E-2</v>
      </c>
      <c r="T213" s="60">
        <f t="shared" ref="T213" si="499">(T177-T190-T191)/(T104)</f>
        <v>-1.4330823415108088E-2</v>
      </c>
      <c r="U213" s="60">
        <f t="shared" ref="U213" si="500">(U177-U190-U191)/(U104)</f>
        <v>-1.5539858728557013E-2</v>
      </c>
      <c r="V213" s="60">
        <f t="shared" ref="V213:W213" si="501">(V177-V190-V191)/(V104)</f>
        <v>-3.6059806508355323E-2</v>
      </c>
      <c r="W213" s="60">
        <f t="shared" si="501"/>
        <v>-4.1086470689358778E-2</v>
      </c>
      <c r="X213" s="60">
        <f t="shared" ref="X213" si="502">(X177-X190-X191)/(X104)</f>
        <v>-4.9114890662964247E-2</v>
      </c>
      <c r="Y213" s="60">
        <f t="shared" ref="Y213" si="503">(Y177-Y190-Y191)/(Y104)</f>
        <v>-6.3845806354464685E-2</v>
      </c>
      <c r="Z213" s="60">
        <f t="shared" ref="Z213:AN213" si="504">(Z177-Z190-Z191)/(Z104)</f>
        <v>-7.6177457437554372E-2</v>
      </c>
      <c r="AA213" s="60">
        <f t="shared" si="504"/>
        <v>-6.4912843546144794E-2</v>
      </c>
      <c r="AB213" s="60">
        <f t="shared" si="504"/>
        <v>-4.0445486518171161E-2</v>
      </c>
      <c r="AC213" s="60">
        <f t="shared" si="504"/>
        <v>-7.3589954713874028E-2</v>
      </c>
      <c r="AD213" s="60">
        <f t="shared" ref="AD213" si="505">(AD177-AD190-AD191)/(AD104)</f>
        <v>-6.2881280734586542E-2</v>
      </c>
      <c r="AE213" s="60">
        <f t="shared" ref="AE213" ca="1" si="506">(AE177-AE190-AE191)/(AE104)</f>
        <v>-5.7116666869698622E-2</v>
      </c>
      <c r="AF213" s="60">
        <f t="shared" ca="1" si="504"/>
        <v>-5.3823575892083558E-2</v>
      </c>
      <c r="AG213" s="60">
        <f t="shared" ca="1" si="504"/>
        <v>-5.0904808602890553E-2</v>
      </c>
      <c r="AH213" s="60">
        <f t="shared" ca="1" si="504"/>
        <v>-4.7885567949566325E-2</v>
      </c>
      <c r="AI213" s="60">
        <f t="shared" ca="1" si="504"/>
        <v>-4.5171192727545037E-2</v>
      </c>
      <c r="AJ213" s="60">
        <f t="shared" ca="1" si="504"/>
        <v>-4.2349819299038305E-2</v>
      </c>
      <c r="AK213" s="60">
        <f t="shared" ca="1" si="504"/>
        <v>-3.9791009921249107E-2</v>
      </c>
      <c r="AL213" s="60">
        <f t="shared" ca="1" si="504"/>
        <v>-3.7789949850771082E-2</v>
      </c>
      <c r="AM213" s="60">
        <f t="shared" ca="1" si="504"/>
        <v>-3.5956314252927418E-2</v>
      </c>
      <c r="AN213" s="60">
        <f t="shared" ca="1" si="504"/>
        <v>-3.426969391611772E-2</v>
      </c>
      <c r="AO213" s="6"/>
      <c r="AP213" s="43"/>
      <c r="AQ213" s="43"/>
      <c r="AR213" s="43"/>
      <c r="AS213" s="15">
        <f ca="1">+AVERAGE(AD213:AM213)</f>
        <v>-4.7367018610035658E-2</v>
      </c>
      <c r="AT213" s="15">
        <f>+AVERAGE(T213:AC213)</f>
        <v>-4.7510339857455244E-2</v>
      </c>
    </row>
    <row r="214" spans="1:46" outlineLevel="1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6"/>
      <c r="AB214" s="43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43"/>
      <c r="AQ214" s="43"/>
      <c r="AR214" s="43"/>
    </row>
    <row r="215" spans="1:46" outlineLevel="1">
      <c r="E215" t="s">
        <v>156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6"/>
      <c r="R215" s="6"/>
      <c r="S215" s="6">
        <f t="shared" ref="S215:AB215" si="507">+S209-R209</f>
        <v>218</v>
      </c>
      <c r="T215" s="6">
        <f t="shared" si="507"/>
        <v>298</v>
      </c>
      <c r="U215" s="6">
        <f t="shared" si="507"/>
        <v>-11</v>
      </c>
      <c r="V215" s="6">
        <f t="shared" si="507"/>
        <v>23</v>
      </c>
      <c r="W215" s="6">
        <f t="shared" si="507"/>
        <v>-39</v>
      </c>
      <c r="X215" s="6">
        <f t="shared" si="507"/>
        <v>-27</v>
      </c>
      <c r="Y215" s="6">
        <f t="shared" si="507"/>
        <v>13</v>
      </c>
      <c r="Z215" s="6">
        <f t="shared" si="507"/>
        <v>30</v>
      </c>
      <c r="AA215" s="6">
        <f t="shared" si="507"/>
        <v>84</v>
      </c>
      <c r="AB215" s="6">
        <f t="shared" si="507"/>
        <v>40</v>
      </c>
      <c r="AC215" s="6">
        <f t="shared" ref="AC215:AN215" si="508">+AC209-AB209</f>
        <v>-319</v>
      </c>
      <c r="AD215" s="6">
        <f t="shared" si="508"/>
        <v>8.0801502739263356</v>
      </c>
      <c r="AE215" s="6">
        <f t="shared" ca="1" si="508"/>
        <v>54.737970878155693</v>
      </c>
      <c r="AF215" s="6">
        <f t="shared" ca="1" si="508"/>
        <v>17.653358254409284</v>
      </c>
      <c r="AG215" s="6">
        <f t="shared" ca="1" si="508"/>
        <v>16.986981656521266</v>
      </c>
      <c r="AH215" s="6">
        <f t="shared" ca="1" si="508"/>
        <v>19.825499222400538</v>
      </c>
      <c r="AI215" s="6">
        <f t="shared" ca="1" si="508"/>
        <v>19.49926926079138</v>
      </c>
      <c r="AJ215" s="6">
        <f t="shared" ca="1" si="508"/>
        <v>23.007797884149909</v>
      </c>
      <c r="AK215" s="6">
        <f t="shared" ca="1" si="508"/>
        <v>23.047977238728663</v>
      </c>
      <c r="AL215" s="6">
        <f t="shared" ca="1" si="508"/>
        <v>18.84324111113142</v>
      </c>
      <c r="AM215" s="6">
        <f t="shared" ca="1" si="508"/>
        <v>18.519284078609019</v>
      </c>
      <c r="AN215" s="6">
        <f t="shared" ca="1" si="508"/>
        <v>18.197573818544697</v>
      </c>
      <c r="AO215" s="6"/>
      <c r="AP215" s="43"/>
      <c r="AQ215" s="43"/>
      <c r="AR215" s="43"/>
    </row>
    <row r="216" spans="1:46" outlineLevel="1">
      <c r="E216" t="s">
        <v>182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6"/>
      <c r="R216" s="6"/>
      <c r="S216" s="6">
        <f t="shared" ref="S216" si="509">-S151</f>
        <v>17</v>
      </c>
      <c r="T216" s="6">
        <f t="shared" ref="T216" si="510">-T151</f>
        <v>437</v>
      </c>
      <c r="U216" s="6">
        <f t="shared" ref="U216" si="511">-U151</f>
        <v>0</v>
      </c>
      <c r="V216" s="6">
        <f t="shared" ref="V216:W216" si="512">-V151</f>
        <v>135</v>
      </c>
      <c r="W216" s="6">
        <f t="shared" si="512"/>
        <v>92</v>
      </c>
      <c r="X216" s="6">
        <f t="shared" ref="X216" si="513">-X151</f>
        <v>-116</v>
      </c>
      <c r="Y216" s="6">
        <f t="shared" ref="Y216" si="514">-Y151</f>
        <v>-8</v>
      </c>
      <c r="Z216" s="6">
        <f t="shared" ref="Z216:AE216" si="515">-Z151</f>
        <v>46</v>
      </c>
      <c r="AA216" s="6">
        <f t="shared" si="515"/>
        <v>205</v>
      </c>
      <c r="AB216" s="6">
        <f t="shared" si="515"/>
        <v>3</v>
      </c>
      <c r="AC216" s="6">
        <f t="shared" si="515"/>
        <v>-351</v>
      </c>
      <c r="AD216" s="6">
        <f t="shared" si="515"/>
        <v>8.0801502739263356</v>
      </c>
      <c r="AE216" s="6">
        <f t="shared" ca="1" si="515"/>
        <v>54.737970878155693</v>
      </c>
      <c r="AF216" s="132">
        <f ca="1">AF215</f>
        <v>17.653358254409284</v>
      </c>
      <c r="AG216" s="132">
        <f t="shared" ref="AG216:AN216" ca="1" si="516">AG215</f>
        <v>16.986981656521266</v>
      </c>
      <c r="AH216" s="132">
        <f t="shared" ca="1" si="516"/>
        <v>19.825499222400538</v>
      </c>
      <c r="AI216" s="132">
        <f t="shared" ca="1" si="516"/>
        <v>19.49926926079138</v>
      </c>
      <c r="AJ216" s="132">
        <f t="shared" ca="1" si="516"/>
        <v>23.007797884149909</v>
      </c>
      <c r="AK216" s="132">
        <f t="shared" ca="1" si="516"/>
        <v>23.047977238728663</v>
      </c>
      <c r="AL216" s="132">
        <f t="shared" ca="1" si="516"/>
        <v>18.84324111113142</v>
      </c>
      <c r="AM216" s="132">
        <f t="shared" ca="1" si="516"/>
        <v>18.519284078609019</v>
      </c>
      <c r="AN216" s="132">
        <f t="shared" ca="1" si="516"/>
        <v>18.197573818544697</v>
      </c>
      <c r="AO216" s="6"/>
      <c r="AP216" s="43"/>
      <c r="AQ216" s="43"/>
      <c r="AR216" s="43"/>
    </row>
    <row r="217" spans="1:46" outlineLevel="1">
      <c r="E217" s="57" t="s">
        <v>176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6"/>
      <c r="R217" s="6"/>
      <c r="S217" s="6">
        <f t="shared" ref="S217" si="517">S215-S216</f>
        <v>201</v>
      </c>
      <c r="T217" s="6">
        <f t="shared" ref="T217" si="518">T215-T216</f>
        <v>-139</v>
      </c>
      <c r="U217" s="6">
        <f t="shared" ref="U217" si="519">U215-U216</f>
        <v>-11</v>
      </c>
      <c r="V217" s="6">
        <f t="shared" ref="V217:W217" si="520">V215-V216</f>
        <v>-112</v>
      </c>
      <c r="W217" s="6">
        <f t="shared" si="520"/>
        <v>-131</v>
      </c>
      <c r="X217" s="6">
        <f t="shared" ref="X217" si="521">X215-X216</f>
        <v>89</v>
      </c>
      <c r="Y217" s="6">
        <f t="shared" ref="Y217" si="522">Y215-Y216</f>
        <v>21</v>
      </c>
      <c r="Z217" s="6">
        <f t="shared" ref="Z217:AN217" si="523">Z215-Z216</f>
        <v>-16</v>
      </c>
      <c r="AA217" s="6">
        <f t="shared" si="523"/>
        <v>-121</v>
      </c>
      <c r="AB217" s="6">
        <f t="shared" si="523"/>
        <v>37</v>
      </c>
      <c r="AC217" s="6">
        <f t="shared" si="523"/>
        <v>32</v>
      </c>
      <c r="AD217" s="6">
        <f t="shared" si="523"/>
        <v>0</v>
      </c>
      <c r="AE217" s="6">
        <f t="shared" ca="1" si="523"/>
        <v>0</v>
      </c>
      <c r="AF217" s="6">
        <f t="shared" ca="1" si="523"/>
        <v>0</v>
      </c>
      <c r="AG217" s="6">
        <f t="shared" ca="1" si="523"/>
        <v>0</v>
      </c>
      <c r="AH217" s="6">
        <f t="shared" ca="1" si="523"/>
        <v>0</v>
      </c>
      <c r="AI217" s="6">
        <f t="shared" ca="1" si="523"/>
        <v>0</v>
      </c>
      <c r="AJ217" s="6">
        <f t="shared" ca="1" si="523"/>
        <v>0</v>
      </c>
      <c r="AK217" s="6">
        <f t="shared" ca="1" si="523"/>
        <v>0</v>
      </c>
      <c r="AL217" s="6">
        <f t="shared" ca="1" si="523"/>
        <v>0</v>
      </c>
      <c r="AM217" s="6">
        <f t="shared" ca="1" si="523"/>
        <v>0</v>
      </c>
      <c r="AN217" s="6">
        <f t="shared" ca="1" si="523"/>
        <v>0</v>
      </c>
      <c r="AO217" s="6"/>
      <c r="AP217" s="43"/>
      <c r="AQ217" s="43"/>
      <c r="AR217" s="43"/>
    </row>
    <row r="218" spans="1:46" s="3" customFormat="1">
      <c r="A218" s="263"/>
      <c r="B218" s="263"/>
      <c r="C218" s="21"/>
      <c r="D218"/>
      <c r="E218" s="101"/>
      <c r="F218" s="21"/>
      <c r="G218" s="21"/>
      <c r="H218" s="21"/>
      <c r="I218" s="21"/>
      <c r="J218" s="21"/>
      <c r="K218"/>
      <c r="L218"/>
      <c r="M218"/>
      <c r="N218"/>
      <c r="O218"/>
      <c r="P218"/>
      <c r="Q218"/>
      <c r="R218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39"/>
    </row>
    <row r="219" spans="1:46">
      <c r="C219" s="94" t="s">
        <v>147</v>
      </c>
      <c r="D219" s="249" t="s">
        <v>147</v>
      </c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</row>
    <row r="220" spans="1:46">
      <c r="D220" s="258"/>
      <c r="E220" s="259" t="s">
        <v>114</v>
      </c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60"/>
      <c r="AG220" s="258"/>
      <c r="AH220" s="258"/>
      <c r="AI220" s="258"/>
      <c r="AJ220" s="258"/>
      <c r="AK220" s="258"/>
      <c r="AL220" s="258"/>
      <c r="AM220" s="258"/>
      <c r="AN220" s="258"/>
    </row>
    <row r="221" spans="1:46" ht="5.0999999999999996" customHeight="1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40"/>
      <c r="Y221" s="40"/>
      <c r="Z221" s="40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6"/>
    </row>
    <row r="222" spans="1:46" s="3" customFormat="1" outlineLevel="1">
      <c r="A222" s="263"/>
      <c r="B222" s="263"/>
      <c r="C222" s="21"/>
      <c r="D222"/>
      <c r="E222" s="101" t="s">
        <v>115</v>
      </c>
      <c r="F222"/>
      <c r="G222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>
        <f t="shared" ref="S222:AC222" si="524">S187+S194</f>
        <v>3042</v>
      </c>
      <c r="T222" s="49">
        <f t="shared" si="524"/>
        <v>7309</v>
      </c>
      <c r="U222" s="49">
        <f t="shared" si="524"/>
        <v>7173</v>
      </c>
      <c r="V222" s="49">
        <f t="shared" si="524"/>
        <v>8052</v>
      </c>
      <c r="W222" s="49">
        <f t="shared" si="524"/>
        <v>8162</v>
      </c>
      <c r="X222" s="49">
        <f t="shared" si="524"/>
        <v>7790</v>
      </c>
      <c r="Y222" s="49">
        <f t="shared" si="524"/>
        <v>9440</v>
      </c>
      <c r="Z222" s="49">
        <f t="shared" si="524"/>
        <v>11747</v>
      </c>
      <c r="AA222" s="49">
        <f t="shared" si="524"/>
        <v>11428</v>
      </c>
      <c r="AB222" s="49">
        <f t="shared" si="524"/>
        <v>9682</v>
      </c>
      <c r="AC222" s="49">
        <f t="shared" si="524"/>
        <v>9685</v>
      </c>
      <c r="AD222" s="68">
        <f ca="1">AD227*AD228</f>
        <v>11454.740488160565</v>
      </c>
      <c r="AE222" s="68">
        <f ca="1">AE227*AE228</f>
        <v>13215.660035468682</v>
      </c>
      <c r="AF222" s="68">
        <f ca="1">AF227*AF228</f>
        <v>13965.821344973998</v>
      </c>
      <c r="AG222" s="68">
        <f t="shared" ref="AG222:AN222" ca="1" si="525">AG227*AG228</f>
        <v>14748.434485452724</v>
      </c>
      <c r="AH222" s="68">
        <f t="shared" ca="1" si="525"/>
        <v>15638.76610891651</v>
      </c>
      <c r="AI222" s="68">
        <f t="shared" ca="1" si="525"/>
        <v>16570.123165044937</v>
      </c>
      <c r="AJ222" s="68">
        <f t="shared" ca="1" si="525"/>
        <v>17631.709954503916</v>
      </c>
      <c r="AK222" s="68">
        <f t="shared" ca="1" si="525"/>
        <v>18749.281898199071</v>
      </c>
      <c r="AL222" s="68">
        <f t="shared" ca="1" si="525"/>
        <v>19807.839591170716</v>
      </c>
      <c r="AM222" s="68">
        <f t="shared" ca="1" si="525"/>
        <v>20885.046584315198</v>
      </c>
      <c r="AN222" s="68">
        <f t="shared" ca="1" si="525"/>
        <v>21741.940207824737</v>
      </c>
      <c r="AO222" s="39"/>
      <c r="AP222" s="160">
        <f ca="1">+(AM222/AC222)^(0.1)-1</f>
        <v>7.9875236993068421E-2</v>
      </c>
      <c r="AQ222" s="160">
        <f t="shared" ref="AQ222" si="526">+(AC222/S222)^(1/10)-1</f>
        <v>0.12277838046576228</v>
      </c>
    </row>
    <row r="223" spans="1:46" s="3" customFormat="1" outlineLevel="1">
      <c r="A223" s="263"/>
      <c r="B223" s="263"/>
      <c r="C223" s="21"/>
      <c r="D223"/>
      <c r="E223" s="146" t="s">
        <v>117</v>
      </c>
      <c r="F223"/>
      <c r="G22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>
        <f t="shared" ref="S223:AC223" si="527">AVERAGE(R222:S222)</f>
        <v>3042</v>
      </c>
      <c r="T223" s="6">
        <f t="shared" si="527"/>
        <v>5175.5</v>
      </c>
      <c r="U223" s="6">
        <f t="shared" si="527"/>
        <v>7241</v>
      </c>
      <c r="V223" s="6">
        <f t="shared" si="527"/>
        <v>7612.5</v>
      </c>
      <c r="W223" s="6">
        <f t="shared" si="527"/>
        <v>8107</v>
      </c>
      <c r="X223" s="6">
        <f t="shared" si="527"/>
        <v>7976</v>
      </c>
      <c r="Y223" s="6">
        <f t="shared" si="527"/>
        <v>8615</v>
      </c>
      <c r="Z223" s="6">
        <f t="shared" si="527"/>
        <v>10593.5</v>
      </c>
      <c r="AA223" s="6">
        <f t="shared" si="527"/>
        <v>11587.5</v>
      </c>
      <c r="AB223" s="6">
        <f t="shared" si="527"/>
        <v>10555</v>
      </c>
      <c r="AC223" s="6">
        <f t="shared" si="527"/>
        <v>9683.5</v>
      </c>
      <c r="AD223" s="6">
        <f t="shared" ref="AD223:AN223" ca="1" si="528">AVERAGE(AC222:AD222)</f>
        <v>10569.870244080283</v>
      </c>
      <c r="AE223" s="6">
        <f t="shared" ca="1" si="528"/>
        <v>12335.200261814623</v>
      </c>
      <c r="AF223" s="6">
        <f t="shared" ca="1" si="528"/>
        <v>13590.740690221341</v>
      </c>
      <c r="AG223" s="6">
        <f t="shared" ca="1" si="528"/>
        <v>14357.127915213361</v>
      </c>
      <c r="AH223" s="6">
        <f t="shared" ca="1" si="528"/>
        <v>15193.600297184617</v>
      </c>
      <c r="AI223" s="6">
        <f t="shared" ca="1" si="528"/>
        <v>16104.444636980723</v>
      </c>
      <c r="AJ223" s="6">
        <f t="shared" ca="1" si="528"/>
        <v>17100.916559774429</v>
      </c>
      <c r="AK223" s="6">
        <f t="shared" ca="1" si="528"/>
        <v>18190.495926351494</v>
      </c>
      <c r="AL223" s="6">
        <f t="shared" ca="1" si="528"/>
        <v>19278.560744684895</v>
      </c>
      <c r="AM223" s="6">
        <f t="shared" ca="1" si="528"/>
        <v>20346.443087742955</v>
      </c>
      <c r="AN223" s="6">
        <f t="shared" ca="1" si="528"/>
        <v>21313.493396069967</v>
      </c>
      <c r="AO223" s="39"/>
    </row>
    <row r="224" spans="1:46" s="3" customFormat="1" outlineLevel="1">
      <c r="A224" s="263"/>
      <c r="B224" s="263"/>
      <c r="C224" s="21"/>
      <c r="D224"/>
      <c r="E224" s="42" t="s">
        <v>68</v>
      </c>
      <c r="F224"/>
      <c r="G224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>
        <f t="shared" ref="S224" si="529">S258</f>
        <v>228</v>
      </c>
      <c r="T224" s="6">
        <f t="shared" ref="T224" si="530">T258</f>
        <v>512</v>
      </c>
      <c r="U224" s="6">
        <f t="shared" ref="U224" si="531">U258</f>
        <v>475</v>
      </c>
      <c r="V224" s="6">
        <f t="shared" ref="V224" si="532">V258</f>
        <v>555</v>
      </c>
      <c r="W224" s="6">
        <f t="shared" ref="W224" si="533">W258</f>
        <v>567</v>
      </c>
      <c r="X224" s="6">
        <f t="shared" ref="X224" si="534">X258</f>
        <v>511</v>
      </c>
      <c r="Y224" s="6">
        <f t="shared" ref="Y224:AB224" si="535">Y258</f>
        <v>464</v>
      </c>
      <c r="Z224" s="6">
        <f t="shared" si="535"/>
        <v>481</v>
      </c>
      <c r="AA224" s="6">
        <f t="shared" si="535"/>
        <v>648</v>
      </c>
      <c r="AB224" s="6">
        <f t="shared" si="535"/>
        <v>669</v>
      </c>
      <c r="AC224" s="6">
        <f>AC258</f>
        <v>424</v>
      </c>
      <c r="AD224" s="132">
        <f t="shared" ref="AD224:AN224" ca="1" si="536">AD223*AD225</f>
        <v>475.64416098361272</v>
      </c>
      <c r="AE224" s="132">
        <f t="shared" ca="1" si="536"/>
        <v>555.08401178165798</v>
      </c>
      <c r="AF224" s="132">
        <f t="shared" ca="1" si="536"/>
        <v>611.5833310599603</v>
      </c>
      <c r="AG224" s="132">
        <f t="shared" ca="1" si="536"/>
        <v>646.07075618460124</v>
      </c>
      <c r="AH224" s="132">
        <f t="shared" ca="1" si="536"/>
        <v>683.71201337330774</v>
      </c>
      <c r="AI224" s="132">
        <f t="shared" ca="1" si="536"/>
        <v>724.7000086641325</v>
      </c>
      <c r="AJ224" s="132">
        <f t="shared" ca="1" si="536"/>
        <v>769.54124518984929</v>
      </c>
      <c r="AK224" s="132">
        <f t="shared" ca="1" si="536"/>
        <v>818.57231668581721</v>
      </c>
      <c r="AL224" s="132">
        <f t="shared" ca="1" si="536"/>
        <v>867.53523351082026</v>
      </c>
      <c r="AM224" s="132">
        <f t="shared" ca="1" si="536"/>
        <v>915.58993894843297</v>
      </c>
      <c r="AN224" s="132">
        <f t="shared" ca="1" si="536"/>
        <v>959.10720282314844</v>
      </c>
      <c r="AO224" s="39"/>
    </row>
    <row r="225" spans="1:41" s="3" customFormat="1" outlineLevel="1">
      <c r="A225" s="263"/>
      <c r="B225" s="263"/>
      <c r="C225" s="21"/>
      <c r="D225"/>
      <c r="E225" s="45" t="s">
        <v>118</v>
      </c>
      <c r="F225"/>
      <c r="G225"/>
      <c r="H225" s="6"/>
      <c r="I225" s="6"/>
      <c r="J225" s="6"/>
      <c r="K225" s="6"/>
      <c r="L225" s="6"/>
      <c r="M225" s="6"/>
      <c r="N225" s="6"/>
      <c r="O225" s="6"/>
      <c r="P225" s="6"/>
      <c r="Q225" s="60"/>
      <c r="R225" s="60"/>
      <c r="S225" s="60">
        <f t="shared" ref="S225" si="537">IFERROR(S224/S223,"na")</f>
        <v>7.4950690335305714E-2</v>
      </c>
      <c r="T225" s="60">
        <f t="shared" ref="T225" si="538">IFERROR(T224/T223,"na")</f>
        <v>9.8927639841561207E-2</v>
      </c>
      <c r="U225" s="60">
        <f t="shared" ref="U225" si="539">IFERROR(U224/U223,"na")</f>
        <v>6.5598674216268471E-2</v>
      </c>
      <c r="V225" s="60">
        <f t="shared" ref="V225" si="540">IFERROR(V224/V223,"na")</f>
        <v>7.2906403940886697E-2</v>
      </c>
      <c r="W225" s="60">
        <f t="shared" ref="W225" si="541">IFERROR(W224/W223,"na")</f>
        <v>6.9939558406315536E-2</v>
      </c>
      <c r="X225" s="60">
        <f t="shared" ref="X225:Y225" si="542">IFERROR(X224/X223,"na")</f>
        <v>6.4067201604814439E-2</v>
      </c>
      <c r="Y225" s="60">
        <f t="shared" si="542"/>
        <v>5.3859547301218808E-2</v>
      </c>
      <c r="Z225" s="60">
        <f t="shared" ref="Z225:AC225" si="543">IFERROR(Z224/Z223,"na")</f>
        <v>4.5405201302685612E-2</v>
      </c>
      <c r="AA225" s="60">
        <f t="shared" si="543"/>
        <v>5.5922330097087379E-2</v>
      </c>
      <c r="AB225" s="60">
        <f t="shared" si="543"/>
        <v>6.3382283278067261E-2</v>
      </c>
      <c r="AC225" s="60">
        <f t="shared" si="543"/>
        <v>4.378582124231941E-2</v>
      </c>
      <c r="AD225" s="188">
        <v>4.4999999999999998E-2</v>
      </c>
      <c r="AE225" s="279">
        <f t="shared" ref="AE225" si="544">AD225</f>
        <v>4.4999999999999998E-2</v>
      </c>
      <c r="AF225" s="279">
        <f t="shared" ref="AF225" si="545">AE225</f>
        <v>4.4999999999999998E-2</v>
      </c>
      <c r="AG225" s="279">
        <f t="shared" ref="AG225" si="546">AF225</f>
        <v>4.4999999999999998E-2</v>
      </c>
      <c r="AH225" s="279">
        <f t="shared" ref="AH225:AN225" si="547">AG225</f>
        <v>4.4999999999999998E-2</v>
      </c>
      <c r="AI225" s="279">
        <f t="shared" si="547"/>
        <v>4.4999999999999998E-2</v>
      </c>
      <c r="AJ225" s="279">
        <f t="shared" si="547"/>
        <v>4.4999999999999998E-2</v>
      </c>
      <c r="AK225" s="279">
        <f t="shared" si="547"/>
        <v>4.4999999999999998E-2</v>
      </c>
      <c r="AL225" s="279">
        <f t="shared" si="547"/>
        <v>4.4999999999999998E-2</v>
      </c>
      <c r="AM225" s="279">
        <f t="shared" si="547"/>
        <v>4.4999999999999998E-2</v>
      </c>
      <c r="AN225" s="279">
        <f t="shared" si="547"/>
        <v>4.4999999999999998E-2</v>
      </c>
      <c r="AO225" s="39"/>
    </row>
    <row r="226" spans="1:41" s="3" customFormat="1" outlineLevel="1">
      <c r="A226" s="263"/>
      <c r="B226" s="263"/>
      <c r="C226" s="21"/>
      <c r="D226"/>
      <c r="E226" s="45" t="s">
        <v>116</v>
      </c>
      <c r="F226"/>
      <c r="G22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>
        <f t="shared" ref="S226:AN226" si="548">S222-S174</f>
        <v>3006</v>
      </c>
      <c r="T226" s="6">
        <f t="shared" si="548"/>
        <v>7203</v>
      </c>
      <c r="U226" s="6">
        <f t="shared" si="548"/>
        <v>6998</v>
      </c>
      <c r="V226" s="6">
        <f t="shared" si="548"/>
        <v>7894</v>
      </c>
      <c r="W226" s="6">
        <f t="shared" si="548"/>
        <v>7983</v>
      </c>
      <c r="X226" s="6">
        <f t="shared" si="548"/>
        <v>7478</v>
      </c>
      <c r="Y226" s="6">
        <f t="shared" si="548"/>
        <v>9088</v>
      </c>
      <c r="Z226" s="6">
        <f t="shared" si="548"/>
        <v>11704</v>
      </c>
      <c r="AA226" s="6">
        <f t="shared" si="548"/>
        <v>11376</v>
      </c>
      <c r="AB226" s="6">
        <f t="shared" si="548"/>
        <v>9480</v>
      </c>
      <c r="AC226" s="6">
        <f t="shared" si="548"/>
        <v>9541</v>
      </c>
      <c r="AD226" s="6">
        <f t="shared" ca="1" si="548"/>
        <v>11029.612287644353</v>
      </c>
      <c r="AE226" s="6">
        <f t="shared" ca="1" si="548"/>
        <v>10042.832242722143</v>
      </c>
      <c r="AF226" s="6">
        <f t="shared" ca="1" si="548"/>
        <v>8992.7207106344977</v>
      </c>
      <c r="AG226" s="6">
        <f t="shared" ca="1" si="548"/>
        <v>7887.7687352938401</v>
      </c>
      <c r="AH226" s="6">
        <f t="shared" ca="1" si="548"/>
        <v>7233.3244490192683</v>
      </c>
      <c r="AI226" s="6">
        <f t="shared" ca="1" si="548"/>
        <v>7023.3055397434327</v>
      </c>
      <c r="AJ226" s="6">
        <f t="shared" ca="1" si="548"/>
        <v>7017.6020346636433</v>
      </c>
      <c r="AK226" s="6">
        <f t="shared" ca="1" si="548"/>
        <v>7067.1988706271877</v>
      </c>
      <c r="AL226" s="6">
        <f t="shared" ca="1" si="548"/>
        <v>7637.8745648786607</v>
      </c>
      <c r="AM226" s="6">
        <f t="shared" ca="1" si="548"/>
        <v>8217.2955160587735</v>
      </c>
      <c r="AN226" s="6">
        <f t="shared" ca="1" si="548"/>
        <v>8876.0041024134789</v>
      </c>
      <c r="AO226" s="39"/>
    </row>
    <row r="227" spans="1:41" s="3" customFormat="1" outlineLevel="1">
      <c r="A227" s="263"/>
      <c r="B227" s="263"/>
      <c r="C227" s="21"/>
      <c r="D227"/>
      <c r="E227" s="269" t="s">
        <v>263</v>
      </c>
      <c r="F227"/>
      <c r="G22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61">
        <v>929</v>
      </c>
      <c r="T227" s="161">
        <v>1739</v>
      </c>
      <c r="U227" s="161">
        <v>2293</v>
      </c>
      <c r="V227" s="161">
        <v>2718</v>
      </c>
      <c r="W227" s="161">
        <v>2832</v>
      </c>
      <c r="X227" s="161">
        <v>2759</v>
      </c>
      <c r="Y227" s="161">
        <v>3164</v>
      </c>
      <c r="Z227" s="161">
        <v>3863</v>
      </c>
      <c r="AA227" s="161">
        <v>4355</v>
      </c>
      <c r="AB227" s="161">
        <v>3932</v>
      </c>
      <c r="AC227" s="161">
        <v>4414</v>
      </c>
      <c r="AD227" s="6">
        <f t="shared" ref="AD227:AN227" ca="1" si="549">(AD25+AD23+AD24+AD20+AD12+AD15+AD16+AD148)</f>
        <v>5206.7002218911657</v>
      </c>
      <c r="AE227" s="6">
        <f t="shared" ca="1" si="549"/>
        <v>6062.2293740682062</v>
      </c>
      <c r="AF227" s="6">
        <f t="shared" ca="1" si="549"/>
        <v>6465.6580300805608</v>
      </c>
      <c r="AG227" s="6">
        <f t="shared" ca="1" si="549"/>
        <v>6891.7918156321239</v>
      </c>
      <c r="AH227" s="6">
        <f t="shared" ca="1" si="549"/>
        <v>7376.7764664700644</v>
      </c>
      <c r="AI227" s="6">
        <f t="shared" ca="1" si="549"/>
        <v>7890.534840497603</v>
      </c>
      <c r="AJ227" s="6">
        <f t="shared" ca="1" si="549"/>
        <v>8476.7836319730504</v>
      </c>
      <c r="AK227" s="6">
        <f t="shared" ca="1" si="549"/>
        <v>9101.5931544655814</v>
      </c>
      <c r="AL227" s="6">
        <f t="shared" ca="1" si="549"/>
        <v>9709.7252897895778</v>
      </c>
      <c r="AM227" s="6">
        <f t="shared" ca="1" si="549"/>
        <v>10339.131972433273</v>
      </c>
      <c r="AN227" s="6">
        <f t="shared" ca="1" si="549"/>
        <v>10870.970103912368</v>
      </c>
      <c r="AO227" s="39"/>
    </row>
    <row r="228" spans="1:41" s="3" customFormat="1" outlineLevel="1">
      <c r="A228" s="263"/>
      <c r="B228" s="263"/>
      <c r="C228" s="21"/>
      <c r="D228"/>
      <c r="E228" s="45" t="s">
        <v>264</v>
      </c>
      <c r="F228"/>
      <c r="G228"/>
      <c r="H228" s="6"/>
      <c r="I228" s="6"/>
      <c r="J228" s="6"/>
      <c r="K228" s="6"/>
      <c r="L228" s="6"/>
      <c r="M228" s="6"/>
      <c r="N228" s="6"/>
      <c r="O228" s="6"/>
      <c r="P228" s="6"/>
      <c r="Q228" s="102"/>
      <c r="R228" s="102"/>
      <c r="S228" s="102">
        <f t="shared" ref="S228:AC228" si="550">S222/S227</f>
        <v>3.2744886975242196</v>
      </c>
      <c r="T228" s="102">
        <f t="shared" si="550"/>
        <v>4.20299022426682</v>
      </c>
      <c r="U228" s="102">
        <f t="shared" si="550"/>
        <v>3.1282163105102487</v>
      </c>
      <c r="V228" s="102">
        <f t="shared" si="550"/>
        <v>2.9624724061810155</v>
      </c>
      <c r="W228" s="102">
        <f t="shared" si="550"/>
        <v>2.8820621468926553</v>
      </c>
      <c r="X228" s="102">
        <f t="shared" si="550"/>
        <v>2.8234867705690467</v>
      </c>
      <c r="Y228" s="102">
        <f t="shared" si="550"/>
        <v>2.9835651074589129</v>
      </c>
      <c r="Z228" s="102">
        <f t="shared" si="550"/>
        <v>3.0409008542583482</v>
      </c>
      <c r="AA228" s="102">
        <f t="shared" si="550"/>
        <v>2.6241102181400691</v>
      </c>
      <c r="AB228" s="102">
        <f t="shared" si="550"/>
        <v>2.4623601220752795</v>
      </c>
      <c r="AC228" s="102">
        <f t="shared" si="550"/>
        <v>2.1941549614861802</v>
      </c>
      <c r="AD228" s="217">
        <v>2.2000000000000002</v>
      </c>
      <c r="AE228" s="217">
        <f ca="1">+AVERAGE(AD228,AF228)</f>
        <v>2.1799999999999988</v>
      </c>
      <c r="AF228" s="217">
        <f t="shared" ref="AF228:AM228" ca="1" si="551">+AVERAGE(AE228,AG228)</f>
        <v>2.1599999999999979</v>
      </c>
      <c r="AG228" s="217">
        <f t="shared" ca="1" si="551"/>
        <v>2.139999999999997</v>
      </c>
      <c r="AH228" s="217">
        <f t="shared" ca="1" si="551"/>
        <v>2.1199999999999966</v>
      </c>
      <c r="AI228" s="217">
        <f t="shared" ca="1" si="551"/>
        <v>2.0999999999999965</v>
      </c>
      <c r="AJ228" s="217">
        <f t="shared" ca="1" si="551"/>
        <v>2.0799999999999965</v>
      </c>
      <c r="AK228" s="217">
        <f t="shared" ca="1" si="551"/>
        <v>2.0599999999999969</v>
      </c>
      <c r="AL228" s="217">
        <f t="shared" ca="1" si="551"/>
        <v>2.0399999999999978</v>
      </c>
      <c r="AM228" s="217">
        <f t="shared" ca="1" si="551"/>
        <v>2.0199999999999987</v>
      </c>
      <c r="AN228" s="217">
        <v>2</v>
      </c>
      <c r="AO228" s="39"/>
    </row>
    <row r="229" spans="1:41" s="3" customFormat="1" outlineLevel="1">
      <c r="A229" s="263"/>
      <c r="B229" s="263"/>
      <c r="C229" s="21"/>
      <c r="D229"/>
      <c r="E229" s="45" t="s">
        <v>49</v>
      </c>
      <c r="F229"/>
      <c r="G229"/>
      <c r="H229" s="6"/>
      <c r="I229" s="6"/>
      <c r="J229" s="6"/>
      <c r="K229" s="6"/>
      <c r="L229" s="6"/>
      <c r="M229" s="6"/>
      <c r="N229" s="6"/>
      <c r="O229" s="6"/>
      <c r="P229" s="6"/>
      <c r="Q229" s="102"/>
      <c r="R229" s="102"/>
      <c r="S229" s="102">
        <f t="shared" ref="S229" si="552">S226/S227</f>
        <v>3.2357373519913888</v>
      </c>
      <c r="T229" s="102">
        <f t="shared" ref="T229" si="553">T226/T227</f>
        <v>4.1420356526739504</v>
      </c>
      <c r="U229" s="102">
        <f t="shared" ref="U229" si="554">U226/U227</f>
        <v>3.0518970780636718</v>
      </c>
      <c r="V229" s="102">
        <f t="shared" ref="V229" si="555">V226/V227</f>
        <v>2.9043414275202353</v>
      </c>
      <c r="W229" s="102">
        <f t="shared" ref="W229" si="556">W226/W227</f>
        <v>2.8188559322033897</v>
      </c>
      <c r="X229" s="102">
        <f t="shared" ref="X229:Y229" si="557">X226/X227</f>
        <v>2.7104023196810441</v>
      </c>
      <c r="Y229" s="102">
        <f t="shared" si="557"/>
        <v>2.872313527180784</v>
      </c>
      <c r="Z229" s="102">
        <f t="shared" ref="Z229:AE229" si="558">Z226/Z227</f>
        <v>3.0297696091120891</v>
      </c>
      <c r="AA229" s="102">
        <f t="shared" si="558"/>
        <v>2.6121699196326063</v>
      </c>
      <c r="AB229" s="102">
        <f t="shared" si="558"/>
        <v>2.4109867751780265</v>
      </c>
      <c r="AC229" s="102">
        <f t="shared" si="558"/>
        <v>2.161531490711373</v>
      </c>
      <c r="AD229" s="102">
        <f t="shared" ca="1" si="558"/>
        <v>2.1183497834715368</v>
      </c>
      <c r="AE229" s="102">
        <f t="shared" ca="1" si="558"/>
        <v>1.6566235988498497</v>
      </c>
      <c r="AF229" s="102">
        <f t="shared" ref="AF229:AN229" ca="1" si="559">AF226/AF227</f>
        <v>1.3908438505094354</v>
      </c>
      <c r="AG229" s="102">
        <f t="shared" ca="1" si="559"/>
        <v>1.1445163966506675</v>
      </c>
      <c r="AH229" s="102">
        <f t="shared" ca="1" si="559"/>
        <v>0.98055356318537856</v>
      </c>
      <c r="AI229" s="102">
        <f t="shared" ca="1" si="559"/>
        <v>0.89009245655906899</v>
      </c>
      <c r="AJ229" s="102">
        <f t="shared" ca="1" si="559"/>
        <v>0.82786140821082055</v>
      </c>
      <c r="AK229" s="102">
        <f t="shared" ca="1" si="559"/>
        <v>0.77647932078350002</v>
      </c>
      <c r="AL229" s="102">
        <f t="shared" ca="1" si="559"/>
        <v>0.78662107700517481</v>
      </c>
      <c r="AM229" s="102">
        <f t="shared" ca="1" si="559"/>
        <v>0.79477615122508838</v>
      </c>
      <c r="AN229" s="102">
        <f t="shared" ca="1" si="559"/>
        <v>0.81648684685638884</v>
      </c>
      <c r="AO229" s="39"/>
    </row>
    <row r="230" spans="1:41" s="3" customFormat="1" outlineLevel="1">
      <c r="A230" s="263"/>
      <c r="B230" s="263"/>
      <c r="C230" s="21"/>
      <c r="D230"/>
      <c r="E230" s="45"/>
      <c r="F230"/>
      <c r="G230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39"/>
    </row>
    <row r="231" spans="1:41" s="3" customFormat="1" outlineLevel="1">
      <c r="A231" s="263"/>
      <c r="B231" s="263"/>
      <c r="C231" s="21"/>
      <c r="D231"/>
      <c r="E231" s="45" t="s">
        <v>297</v>
      </c>
      <c r="F231"/>
      <c r="G231" s="192">
        <v>8.9999999999999993E-3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193">
        <v>843</v>
      </c>
      <c r="AD231" s="194">
        <f t="shared" ref="AD231:AN243" si="560">+AC231</f>
        <v>843</v>
      </c>
      <c r="AE231" s="195">
        <v>0</v>
      </c>
      <c r="AF231" s="194">
        <f t="shared" si="560"/>
        <v>0</v>
      </c>
      <c r="AG231" s="194">
        <f t="shared" si="560"/>
        <v>0</v>
      </c>
      <c r="AH231" s="194">
        <f t="shared" si="560"/>
        <v>0</v>
      </c>
      <c r="AI231" s="194">
        <f t="shared" si="560"/>
        <v>0</v>
      </c>
      <c r="AJ231" s="194">
        <f t="shared" si="560"/>
        <v>0</v>
      </c>
      <c r="AK231" s="194">
        <f t="shared" si="560"/>
        <v>0</v>
      </c>
      <c r="AL231" s="194">
        <f t="shared" si="560"/>
        <v>0</v>
      </c>
      <c r="AM231" s="194">
        <f t="shared" si="560"/>
        <v>0</v>
      </c>
      <c r="AN231" s="194">
        <f t="shared" si="560"/>
        <v>0</v>
      </c>
      <c r="AO231" s="39"/>
    </row>
    <row r="232" spans="1:41" s="3" customFormat="1" outlineLevel="1">
      <c r="A232" s="263"/>
      <c r="B232" s="263"/>
      <c r="C232" s="21"/>
      <c r="D232"/>
      <c r="E232" s="45" t="s">
        <v>298</v>
      </c>
      <c r="F232"/>
      <c r="G232" s="192">
        <v>1.4E-2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193">
        <v>1029</v>
      </c>
      <c r="AD232" s="194">
        <f t="shared" si="560"/>
        <v>1029</v>
      </c>
      <c r="AE232" s="194">
        <f t="shared" si="560"/>
        <v>1029</v>
      </c>
      <c r="AF232" s="194">
        <f t="shared" si="560"/>
        <v>1029</v>
      </c>
      <c r="AG232" s="195">
        <v>0</v>
      </c>
      <c r="AH232" s="194">
        <f t="shared" si="560"/>
        <v>0</v>
      </c>
      <c r="AI232" s="194">
        <f t="shared" si="560"/>
        <v>0</v>
      </c>
      <c r="AJ232" s="194">
        <f t="shared" si="560"/>
        <v>0</v>
      </c>
      <c r="AK232" s="194">
        <f t="shared" si="560"/>
        <v>0</v>
      </c>
      <c r="AL232" s="194">
        <f t="shared" si="560"/>
        <v>0</v>
      </c>
      <c r="AM232" s="194">
        <f t="shared" si="560"/>
        <v>0</v>
      </c>
      <c r="AN232" s="194">
        <f t="shared" si="560"/>
        <v>0</v>
      </c>
      <c r="AO232" s="39"/>
    </row>
    <row r="233" spans="1:41" s="3" customFormat="1" outlineLevel="1">
      <c r="A233" s="263"/>
      <c r="B233" s="263"/>
      <c r="C233" s="21"/>
      <c r="D233"/>
      <c r="E233" s="45" t="s">
        <v>299</v>
      </c>
      <c r="F233"/>
      <c r="G233" s="192">
        <v>1.9E-2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193">
        <v>962</v>
      </c>
      <c r="AD233" s="194">
        <f t="shared" si="560"/>
        <v>962</v>
      </c>
      <c r="AE233" s="194">
        <f t="shared" si="560"/>
        <v>962</v>
      </c>
      <c r="AF233" s="194">
        <f t="shared" si="560"/>
        <v>962</v>
      </c>
      <c r="AG233" s="194">
        <f t="shared" si="560"/>
        <v>962</v>
      </c>
      <c r="AH233" s="195">
        <v>0</v>
      </c>
      <c r="AI233" s="194">
        <f t="shared" si="560"/>
        <v>0</v>
      </c>
      <c r="AJ233" s="194">
        <f t="shared" si="560"/>
        <v>0</v>
      </c>
      <c r="AK233" s="194">
        <f t="shared" si="560"/>
        <v>0</v>
      </c>
      <c r="AL233" s="194">
        <f t="shared" si="560"/>
        <v>0</v>
      </c>
      <c r="AM233" s="194">
        <f t="shared" si="560"/>
        <v>0</v>
      </c>
      <c r="AN233" s="194">
        <f t="shared" si="560"/>
        <v>0</v>
      </c>
      <c r="AO233" s="39"/>
    </row>
    <row r="234" spans="1:41" s="3" customFormat="1" outlineLevel="1">
      <c r="A234" s="263"/>
      <c r="B234" s="263"/>
      <c r="C234" s="21"/>
      <c r="D234"/>
      <c r="E234" s="45" t="s">
        <v>300</v>
      </c>
      <c r="F234"/>
      <c r="G234" s="192">
        <v>5.8749999999999997E-2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195">
        <v>0</v>
      </c>
      <c r="AD234" s="194">
        <f t="shared" si="560"/>
        <v>0</v>
      </c>
      <c r="AE234" s="194">
        <f t="shared" si="560"/>
        <v>0</v>
      </c>
      <c r="AF234" s="194">
        <f t="shared" si="560"/>
        <v>0</v>
      </c>
      <c r="AG234" s="194">
        <f t="shared" si="560"/>
        <v>0</v>
      </c>
      <c r="AH234" s="194">
        <f t="shared" si="560"/>
        <v>0</v>
      </c>
      <c r="AI234" s="194">
        <f t="shared" si="560"/>
        <v>0</v>
      </c>
      <c r="AJ234" s="194">
        <f t="shared" si="560"/>
        <v>0</v>
      </c>
      <c r="AK234" s="194">
        <f t="shared" si="560"/>
        <v>0</v>
      </c>
      <c r="AL234" s="194">
        <f t="shared" si="560"/>
        <v>0</v>
      </c>
      <c r="AM234" s="194">
        <f t="shared" si="560"/>
        <v>0</v>
      </c>
      <c r="AN234" s="194">
        <f t="shared" si="560"/>
        <v>0</v>
      </c>
      <c r="AO234" s="39"/>
    </row>
    <row r="235" spans="1:41" s="3" customFormat="1" outlineLevel="1">
      <c r="A235" s="263"/>
      <c r="B235" s="263"/>
      <c r="C235" s="21"/>
      <c r="D235"/>
      <c r="E235" s="45" t="s">
        <v>301</v>
      </c>
      <c r="F235"/>
      <c r="G235" s="192">
        <v>5.5E-2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193">
        <v>995</v>
      </c>
      <c r="AD235" s="194">
        <f t="shared" si="560"/>
        <v>995</v>
      </c>
      <c r="AE235" s="194">
        <f t="shared" si="560"/>
        <v>995</v>
      </c>
      <c r="AF235" s="194">
        <f t="shared" si="560"/>
        <v>995</v>
      </c>
      <c r="AG235" s="194">
        <f t="shared" si="560"/>
        <v>995</v>
      </c>
      <c r="AH235" s="194">
        <f t="shared" si="560"/>
        <v>995</v>
      </c>
      <c r="AI235" s="194">
        <f t="shared" si="560"/>
        <v>995</v>
      </c>
      <c r="AJ235" s="195">
        <v>0</v>
      </c>
      <c r="AK235" s="194">
        <f t="shared" si="560"/>
        <v>0</v>
      </c>
      <c r="AL235" s="194">
        <f t="shared" si="560"/>
        <v>0</v>
      </c>
      <c r="AM235" s="194">
        <f t="shared" si="560"/>
        <v>0</v>
      </c>
      <c r="AN235" s="194">
        <f t="shared" si="560"/>
        <v>0</v>
      </c>
      <c r="AO235" s="39"/>
    </row>
    <row r="236" spans="1:41" s="3" customFormat="1" outlineLevel="1">
      <c r="A236" s="263"/>
      <c r="B236" s="263"/>
      <c r="C236" s="21"/>
      <c r="D236"/>
      <c r="E236" s="45" t="s">
        <v>302</v>
      </c>
      <c r="F236"/>
      <c r="G236" s="192">
        <v>3.875E-2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193">
        <v>743</v>
      </c>
      <c r="AD236" s="194">
        <f t="shared" si="560"/>
        <v>743</v>
      </c>
      <c r="AE236" s="194">
        <f t="shared" si="560"/>
        <v>743</v>
      </c>
      <c r="AF236" s="194">
        <f t="shared" si="560"/>
        <v>743</v>
      </c>
      <c r="AG236" s="194">
        <f t="shared" si="560"/>
        <v>743</v>
      </c>
      <c r="AH236" s="194">
        <f t="shared" si="560"/>
        <v>743</v>
      </c>
      <c r="AI236" s="194">
        <f t="shared" si="560"/>
        <v>743</v>
      </c>
      <c r="AJ236" s="195">
        <v>0</v>
      </c>
      <c r="AK236" s="194">
        <f t="shared" si="560"/>
        <v>0</v>
      </c>
      <c r="AL236" s="194">
        <f t="shared" si="560"/>
        <v>0</v>
      </c>
      <c r="AM236" s="194">
        <f t="shared" si="560"/>
        <v>0</v>
      </c>
      <c r="AN236" s="194">
        <f t="shared" si="560"/>
        <v>0</v>
      </c>
      <c r="AO236" s="39"/>
    </row>
    <row r="237" spans="1:41" s="3" customFormat="1" outlineLevel="1">
      <c r="A237" s="263"/>
      <c r="B237" s="263"/>
      <c r="C237" s="21"/>
      <c r="D237"/>
      <c r="E237" s="45" t="s">
        <v>300</v>
      </c>
      <c r="F237"/>
      <c r="G237" s="192">
        <v>4.8750000000000002E-2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193">
        <v>1656</v>
      </c>
      <c r="AD237" s="194">
        <f t="shared" si="560"/>
        <v>1656</v>
      </c>
      <c r="AE237" s="194">
        <f t="shared" si="560"/>
        <v>1656</v>
      </c>
      <c r="AF237" s="194">
        <f t="shared" si="560"/>
        <v>1656</v>
      </c>
      <c r="AG237" s="194">
        <f t="shared" si="560"/>
        <v>1656</v>
      </c>
      <c r="AH237" s="194">
        <f t="shared" si="560"/>
        <v>1656</v>
      </c>
      <c r="AI237" s="194">
        <f t="shared" si="560"/>
        <v>1656</v>
      </c>
      <c r="AJ237" s="194">
        <f t="shared" si="560"/>
        <v>1656</v>
      </c>
      <c r="AK237" s="195">
        <v>0</v>
      </c>
      <c r="AL237" s="194">
        <f t="shared" si="560"/>
        <v>0</v>
      </c>
      <c r="AM237" s="194">
        <f t="shared" si="560"/>
        <v>0</v>
      </c>
      <c r="AN237" s="194">
        <f t="shared" si="560"/>
        <v>0</v>
      </c>
      <c r="AO237" s="39"/>
    </row>
    <row r="238" spans="1:41" s="3" customFormat="1" outlineLevel="1">
      <c r="A238" s="263"/>
      <c r="B238" s="263"/>
      <c r="C238" s="21"/>
      <c r="D238"/>
      <c r="E238" s="45" t="s">
        <v>303</v>
      </c>
      <c r="F238"/>
      <c r="G238" s="192">
        <v>4.8750000000000002E-2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193">
        <v>4</v>
      </c>
      <c r="AD238" s="194">
        <f t="shared" si="560"/>
        <v>4</v>
      </c>
      <c r="AE238" s="194">
        <f t="shared" si="560"/>
        <v>4</v>
      </c>
      <c r="AF238" s="194">
        <f t="shared" si="560"/>
        <v>4</v>
      </c>
      <c r="AG238" s="194">
        <f t="shared" si="560"/>
        <v>4</v>
      </c>
      <c r="AH238" s="194">
        <f t="shared" si="560"/>
        <v>4</v>
      </c>
      <c r="AI238" s="195">
        <v>0</v>
      </c>
      <c r="AJ238" s="194">
        <f t="shared" si="560"/>
        <v>0</v>
      </c>
      <c r="AK238" s="194">
        <f t="shared" si="560"/>
        <v>0</v>
      </c>
      <c r="AL238" s="194">
        <f t="shared" si="560"/>
        <v>0</v>
      </c>
      <c r="AM238" s="194">
        <f t="shared" si="560"/>
        <v>0</v>
      </c>
      <c r="AN238" s="194">
        <f t="shared" si="560"/>
        <v>0</v>
      </c>
      <c r="AO238" s="39"/>
    </row>
    <row r="239" spans="1:41" s="3" customFormat="1" outlineLevel="1">
      <c r="A239" s="263"/>
      <c r="B239" s="263"/>
      <c r="C239" s="21"/>
      <c r="D239"/>
      <c r="E239" s="45" t="s">
        <v>304</v>
      </c>
      <c r="F239"/>
      <c r="G239" s="192">
        <v>5.2499999999999998E-2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193">
        <v>743</v>
      </c>
      <c r="AD239" s="194">
        <f t="shared" si="560"/>
        <v>743</v>
      </c>
      <c r="AE239" s="194">
        <f t="shared" si="560"/>
        <v>743</v>
      </c>
      <c r="AF239" s="194">
        <f t="shared" si="560"/>
        <v>743</v>
      </c>
      <c r="AG239" s="194">
        <f t="shared" si="560"/>
        <v>743</v>
      </c>
      <c r="AH239" s="194">
        <f t="shared" si="560"/>
        <v>743</v>
      </c>
      <c r="AI239" s="194">
        <f t="shared" si="560"/>
        <v>743</v>
      </c>
      <c r="AJ239" s="194">
        <f t="shared" si="560"/>
        <v>743</v>
      </c>
      <c r="AK239" s="194">
        <f t="shared" si="560"/>
        <v>743</v>
      </c>
      <c r="AL239" s="194">
        <f t="shared" si="560"/>
        <v>743</v>
      </c>
      <c r="AM239" s="195">
        <v>0</v>
      </c>
      <c r="AN239" s="194">
        <f t="shared" si="560"/>
        <v>0</v>
      </c>
      <c r="AO239" s="39"/>
    </row>
    <row r="240" spans="1:41" s="3" customFormat="1" outlineLevel="1">
      <c r="A240" s="263"/>
      <c r="B240" s="263"/>
      <c r="C240" s="21"/>
      <c r="D240"/>
      <c r="E240" s="45" t="s">
        <v>305</v>
      </c>
      <c r="F240"/>
      <c r="G240" s="192">
        <v>0.04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193">
        <v>743</v>
      </c>
      <c r="AD240" s="194">
        <f t="shared" si="560"/>
        <v>743</v>
      </c>
      <c r="AE240" s="194">
        <f t="shared" si="560"/>
        <v>743</v>
      </c>
      <c r="AF240" s="194">
        <f t="shared" si="560"/>
        <v>743</v>
      </c>
      <c r="AG240" s="194">
        <f t="shared" si="560"/>
        <v>743</v>
      </c>
      <c r="AH240" s="194">
        <f t="shared" si="560"/>
        <v>743</v>
      </c>
      <c r="AI240" s="194">
        <f t="shared" si="560"/>
        <v>743</v>
      </c>
      <c r="AJ240" s="194">
        <f t="shared" si="560"/>
        <v>743</v>
      </c>
      <c r="AK240" s="194">
        <f t="shared" si="560"/>
        <v>743</v>
      </c>
      <c r="AL240" s="194">
        <f t="shared" si="560"/>
        <v>743</v>
      </c>
      <c r="AM240" s="195">
        <v>0</v>
      </c>
      <c r="AN240" s="194">
        <f t="shared" si="560"/>
        <v>0</v>
      </c>
      <c r="AO240" s="39"/>
    </row>
    <row r="241" spans="1:42 16384:16384" s="3" customFormat="1" outlineLevel="1">
      <c r="A241" s="263"/>
      <c r="B241" s="263"/>
      <c r="C241" s="21"/>
      <c r="D241"/>
      <c r="E241" s="45" t="s">
        <v>306</v>
      </c>
      <c r="F241"/>
      <c r="G241" s="192">
        <v>3.875E-2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193">
        <v>1089</v>
      </c>
      <c r="AD241" s="194">
        <f t="shared" si="560"/>
        <v>1089</v>
      </c>
      <c r="AE241" s="194">
        <f t="shared" si="560"/>
        <v>1089</v>
      </c>
      <c r="AF241" s="194">
        <f t="shared" si="560"/>
        <v>1089</v>
      </c>
      <c r="AG241" s="194">
        <f t="shared" si="560"/>
        <v>1089</v>
      </c>
      <c r="AH241" s="194">
        <f t="shared" si="560"/>
        <v>1089</v>
      </c>
      <c r="AI241" s="194">
        <f t="shared" si="560"/>
        <v>1089</v>
      </c>
      <c r="AJ241" s="194">
        <f t="shared" si="560"/>
        <v>1089</v>
      </c>
      <c r="AK241" s="194">
        <f t="shared" si="560"/>
        <v>1089</v>
      </c>
      <c r="AL241" s="194">
        <f t="shared" si="560"/>
        <v>1089</v>
      </c>
      <c r="AM241" s="194">
        <f t="shared" si="560"/>
        <v>1089</v>
      </c>
      <c r="AN241" s="195">
        <v>0</v>
      </c>
      <c r="AO241" s="39"/>
    </row>
    <row r="242" spans="1:42 16384:16384" s="3" customFormat="1" outlineLevel="1">
      <c r="A242" s="263"/>
      <c r="B242" s="263"/>
      <c r="C242" s="21"/>
      <c r="D242"/>
      <c r="E242" s="45" t="s">
        <v>306</v>
      </c>
      <c r="F242"/>
      <c r="G242" s="192">
        <v>3.7499999999999999E-2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193">
        <v>743</v>
      </c>
      <c r="AD242" s="194">
        <f t="shared" si="560"/>
        <v>743</v>
      </c>
      <c r="AE242" s="194">
        <f t="shared" si="560"/>
        <v>743</v>
      </c>
      <c r="AF242" s="194">
        <f t="shared" si="560"/>
        <v>743</v>
      </c>
      <c r="AG242" s="194">
        <f t="shared" si="560"/>
        <v>743</v>
      </c>
      <c r="AH242" s="194">
        <f t="shared" si="560"/>
        <v>743</v>
      </c>
      <c r="AI242" s="194">
        <f t="shared" si="560"/>
        <v>743</v>
      </c>
      <c r="AJ242" s="194">
        <f t="shared" si="560"/>
        <v>743</v>
      </c>
      <c r="AK242" s="194">
        <f t="shared" si="560"/>
        <v>743</v>
      </c>
      <c r="AL242" s="194">
        <f t="shared" si="560"/>
        <v>743</v>
      </c>
      <c r="AM242" s="194">
        <f t="shared" si="560"/>
        <v>743</v>
      </c>
      <c r="AN242" s="194">
        <f t="shared" si="560"/>
        <v>743</v>
      </c>
      <c r="AO242" s="39"/>
    </row>
    <row r="243" spans="1:42 16384:16384" s="3" customFormat="1" outlineLevel="1">
      <c r="A243" s="263"/>
      <c r="B243" s="263"/>
      <c r="C243" s="21"/>
      <c r="D243"/>
      <c r="E243" s="45" t="s">
        <v>307</v>
      </c>
      <c r="F243"/>
      <c r="G243" s="192">
        <v>3.7499999999999999E-2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193">
        <v>135</v>
      </c>
      <c r="AD243" s="194">
        <f>+AC243</f>
        <v>135</v>
      </c>
      <c r="AE243" s="194">
        <f t="shared" si="560"/>
        <v>135</v>
      </c>
      <c r="AF243" s="194">
        <f t="shared" si="560"/>
        <v>135</v>
      </c>
      <c r="AG243" s="194">
        <f t="shared" si="560"/>
        <v>135</v>
      </c>
      <c r="AH243" s="194">
        <f t="shared" si="560"/>
        <v>135</v>
      </c>
      <c r="AI243" s="194">
        <f t="shared" si="560"/>
        <v>135</v>
      </c>
      <c r="AJ243" s="194">
        <f t="shared" si="560"/>
        <v>135</v>
      </c>
      <c r="AK243" s="194">
        <f t="shared" si="560"/>
        <v>135</v>
      </c>
      <c r="AL243" s="194">
        <f t="shared" si="560"/>
        <v>135</v>
      </c>
      <c r="AM243" s="194">
        <f t="shared" si="560"/>
        <v>135</v>
      </c>
      <c r="AN243" s="194">
        <f t="shared" si="560"/>
        <v>135</v>
      </c>
      <c r="AO243" s="39"/>
    </row>
    <row r="244" spans="1:42 16384:16384" s="3" customFormat="1" outlineLevel="1">
      <c r="A244" s="263"/>
      <c r="B244" s="263"/>
      <c r="C244" s="21"/>
      <c r="D244"/>
      <c r="E244" s="45" t="s">
        <v>86</v>
      </c>
      <c r="F244"/>
      <c r="G244" s="192">
        <v>4.4999999999999998E-2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193"/>
      <c r="AD244" s="194">
        <f t="shared" ref="AD244:AN244" ca="1" si="561">SUM(AD245-SUM(AD231:AD243))</f>
        <v>1769.7404881605653</v>
      </c>
      <c r="AE244" s="194">
        <f t="shared" ca="1" si="561"/>
        <v>4373.6600354686816</v>
      </c>
      <c r="AF244" s="194">
        <f t="shared" ca="1" si="561"/>
        <v>5123.8213449739978</v>
      </c>
      <c r="AG244" s="194">
        <f t="shared" ca="1" si="561"/>
        <v>6935.4344854527244</v>
      </c>
      <c r="AH244" s="194">
        <f t="shared" ca="1" si="561"/>
        <v>8787.7661089165103</v>
      </c>
      <c r="AI244" s="194">
        <f t="shared" ca="1" si="561"/>
        <v>9723.1231650449372</v>
      </c>
      <c r="AJ244" s="194">
        <f t="shared" ca="1" si="561"/>
        <v>12522.709954503916</v>
      </c>
      <c r="AK244" s="194">
        <f t="shared" ca="1" si="561"/>
        <v>15296.281898199071</v>
      </c>
      <c r="AL244" s="194">
        <f t="shared" ca="1" si="561"/>
        <v>16354.839591170716</v>
      </c>
      <c r="AM244" s="194">
        <f t="shared" ca="1" si="561"/>
        <v>18918.046584315198</v>
      </c>
      <c r="AN244" s="194">
        <f t="shared" ca="1" si="561"/>
        <v>20863.940207824737</v>
      </c>
      <c r="AO244" s="39"/>
    </row>
    <row r="245" spans="1:42 16384:16384" s="3" customFormat="1" outlineLevel="1">
      <c r="A245" s="263"/>
      <c r="B245" s="263"/>
      <c r="C245" s="21"/>
      <c r="D245"/>
      <c r="E245" s="270" t="s">
        <v>308</v>
      </c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>
        <f t="shared" ref="Q245:AC245" si="562">SUM(Q231:Q243)</f>
        <v>0</v>
      </c>
      <c r="R245" s="196">
        <f t="shared" si="562"/>
        <v>0</v>
      </c>
      <c r="S245" s="196">
        <f t="shared" si="562"/>
        <v>0</v>
      </c>
      <c r="T245" s="196">
        <f t="shared" si="562"/>
        <v>0</v>
      </c>
      <c r="U245" s="196">
        <f t="shared" si="562"/>
        <v>0</v>
      </c>
      <c r="V245" s="196">
        <f t="shared" si="562"/>
        <v>0</v>
      </c>
      <c r="W245" s="196">
        <f t="shared" si="562"/>
        <v>0</v>
      </c>
      <c r="X245" s="196">
        <f t="shared" si="562"/>
        <v>0</v>
      </c>
      <c r="Y245" s="196">
        <f t="shared" si="562"/>
        <v>0</v>
      </c>
      <c r="Z245" s="196">
        <f t="shared" si="562"/>
        <v>0</v>
      </c>
      <c r="AA245" s="196">
        <f t="shared" si="562"/>
        <v>0</v>
      </c>
      <c r="AB245" s="196">
        <f t="shared" si="562"/>
        <v>0</v>
      </c>
      <c r="AC245" s="196">
        <f t="shared" si="562"/>
        <v>9685</v>
      </c>
      <c r="AD245" s="218">
        <f t="shared" ref="AD245:AN245" ca="1" si="563">+AD222</f>
        <v>11454.740488160565</v>
      </c>
      <c r="AE245" s="218">
        <f t="shared" ca="1" si="563"/>
        <v>13215.660035468682</v>
      </c>
      <c r="AF245" s="218">
        <f t="shared" ca="1" si="563"/>
        <v>13965.821344973998</v>
      </c>
      <c r="AG245" s="218">
        <f t="shared" ca="1" si="563"/>
        <v>14748.434485452724</v>
      </c>
      <c r="AH245" s="218">
        <f t="shared" ca="1" si="563"/>
        <v>15638.76610891651</v>
      </c>
      <c r="AI245" s="218">
        <f t="shared" ca="1" si="563"/>
        <v>16570.123165044937</v>
      </c>
      <c r="AJ245" s="218">
        <f t="shared" ca="1" si="563"/>
        <v>17631.709954503916</v>
      </c>
      <c r="AK245" s="218">
        <f t="shared" ca="1" si="563"/>
        <v>18749.281898199071</v>
      </c>
      <c r="AL245" s="218">
        <f t="shared" ca="1" si="563"/>
        <v>19807.839591170716</v>
      </c>
      <c r="AM245" s="218">
        <f t="shared" ca="1" si="563"/>
        <v>20885.046584315198</v>
      </c>
      <c r="AN245" s="218">
        <f t="shared" ca="1" si="563"/>
        <v>21741.940207824737</v>
      </c>
      <c r="AO245" s="39"/>
    </row>
    <row r="246" spans="1:42 16384:16384" s="3" customFormat="1" outlineLevel="1">
      <c r="A246" s="263"/>
      <c r="B246" s="263"/>
      <c r="C246" s="21"/>
      <c r="D246"/>
      <c r="E246" s="45"/>
      <c r="F246"/>
      <c r="G24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39"/>
      <c r="AP246" s="39"/>
    </row>
    <row r="247" spans="1:42 16384:16384" s="3" customFormat="1" outlineLevel="1">
      <c r="A247" s="263"/>
      <c r="B247" s="263" t="s">
        <v>207</v>
      </c>
      <c r="C247" s="21"/>
      <c r="D247"/>
      <c r="E247" s="45" t="s">
        <v>321</v>
      </c>
      <c r="F247"/>
      <c r="G24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>
        <v>823</v>
      </c>
      <c r="AD247" s="6">
        <f t="shared" ref="AD247:AM247" si="564">AD282-AC282+AC247</f>
        <v>891.0004025194454</v>
      </c>
      <c r="AE247" s="6">
        <f t="shared" ca="1" si="564"/>
        <v>971.04530288020499</v>
      </c>
      <c r="AF247" s="6">
        <f t="shared" ca="1" si="564"/>
        <v>1026.0360955674705</v>
      </c>
      <c r="AG247" s="6">
        <f t="shared" ca="1" si="564"/>
        <v>1080.5604832899094</v>
      </c>
      <c r="AH247" s="6">
        <f t="shared" ca="1" si="564"/>
        <v>1143.6638063221642</v>
      </c>
      <c r="AI247" s="6">
        <f t="shared" ca="1" si="564"/>
        <v>1207.36618605179</v>
      </c>
      <c r="AJ247" s="6">
        <f t="shared" ca="1" si="564"/>
        <v>1281.8334059004085</v>
      </c>
      <c r="AK247" s="6">
        <f t="shared" ca="1" si="564"/>
        <v>1358.1622180649977</v>
      </c>
      <c r="AL247" s="6">
        <f t="shared" ca="1" si="564"/>
        <v>1424.9215757860632</v>
      </c>
      <c r="AM247" s="6">
        <f t="shared" ca="1" si="564"/>
        <v>1492.403316498968</v>
      </c>
      <c r="AN247" s="6">
        <f t="shared" ref="AN247" ca="1" si="565">AN282-AM282+AM247</f>
        <v>1560.6401322901452</v>
      </c>
      <c r="AO247" s="39"/>
      <c r="AP247" s="39"/>
    </row>
    <row r="248" spans="1:42 16384:16384" s="3" customFormat="1" outlineLevel="1">
      <c r="A248" s="263"/>
      <c r="B248" s="263"/>
      <c r="C248" s="21"/>
      <c r="D248"/>
      <c r="E248" s="45" t="s">
        <v>86</v>
      </c>
      <c r="F248"/>
      <c r="G24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53">
        <f>AC248</f>
        <v>0</v>
      </c>
      <c r="AE248" s="53">
        <f>AD248</f>
        <v>0</v>
      </c>
      <c r="AF248" s="53">
        <f>AE248</f>
        <v>0</v>
      </c>
      <c r="AG248" s="53">
        <f>AF248</f>
        <v>0</v>
      </c>
      <c r="AH248" s="53">
        <f t="shared" ref="AH248:AN248" si="566">AG248</f>
        <v>0</v>
      </c>
      <c r="AI248" s="53">
        <f t="shared" si="566"/>
        <v>0</v>
      </c>
      <c r="AJ248" s="53">
        <f t="shared" si="566"/>
        <v>0</v>
      </c>
      <c r="AK248" s="53">
        <f t="shared" si="566"/>
        <v>0</v>
      </c>
      <c r="AL248" s="53">
        <f t="shared" si="566"/>
        <v>0</v>
      </c>
      <c r="AM248" s="53">
        <f t="shared" si="566"/>
        <v>0</v>
      </c>
      <c r="AN248" s="53">
        <f t="shared" si="566"/>
        <v>0</v>
      </c>
      <c r="AO248" s="39"/>
      <c r="AP248" s="39"/>
    </row>
    <row r="249" spans="1:42 16384:16384" s="3" customFormat="1" outlineLevel="1">
      <c r="A249" s="263"/>
      <c r="B249" s="263"/>
      <c r="C249" s="96"/>
      <c r="E249" s="2" t="s">
        <v>206</v>
      </c>
      <c r="F249" s="2"/>
      <c r="G249" s="2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>
        <f t="shared" ref="AB249:AN249" si="567">SUM(AB247:AB248)</f>
        <v>0</v>
      </c>
      <c r="AC249" s="7">
        <f t="shared" si="567"/>
        <v>823</v>
      </c>
      <c r="AD249" s="7">
        <f>SUM(AD247:AD248)</f>
        <v>891.0004025194454</v>
      </c>
      <c r="AE249" s="7">
        <f ca="1">SUM(AE247:AE248)</f>
        <v>971.04530288020499</v>
      </c>
      <c r="AF249" s="7">
        <f t="shared" ca="1" si="567"/>
        <v>1026.0360955674705</v>
      </c>
      <c r="AG249" s="7">
        <f t="shared" ca="1" si="567"/>
        <v>1080.5604832899094</v>
      </c>
      <c r="AH249" s="7">
        <f t="shared" ca="1" si="567"/>
        <v>1143.6638063221642</v>
      </c>
      <c r="AI249" s="7">
        <f t="shared" ca="1" si="567"/>
        <v>1207.36618605179</v>
      </c>
      <c r="AJ249" s="7">
        <f t="shared" ca="1" si="567"/>
        <v>1281.8334059004085</v>
      </c>
      <c r="AK249" s="7">
        <f t="shared" ca="1" si="567"/>
        <v>1358.1622180649977</v>
      </c>
      <c r="AL249" s="7">
        <f t="shared" ca="1" si="567"/>
        <v>1424.9215757860632</v>
      </c>
      <c r="AM249" s="7">
        <f t="shared" ca="1" si="567"/>
        <v>1492.403316498968</v>
      </c>
      <c r="AN249" s="7">
        <f t="shared" ca="1" si="567"/>
        <v>1560.6401322901452</v>
      </c>
      <c r="AO249" s="39"/>
      <c r="AP249" s="39"/>
      <c r="XFD249" s="39"/>
    </row>
    <row r="250" spans="1:42 16384:16384" s="3" customFormat="1" outlineLevel="1">
      <c r="A250" s="263"/>
      <c r="B250" s="263"/>
      <c r="C250" s="21"/>
      <c r="D250"/>
      <c r="E250" s="45" t="s">
        <v>208</v>
      </c>
      <c r="F250"/>
      <c r="G250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48"/>
      <c r="AA250" s="48"/>
      <c r="AB250" s="48">
        <f t="shared" ref="AB250:AN250" si="568">IFERROR(AB247/AB104,"na")</f>
        <v>0</v>
      </c>
      <c r="AC250" s="48">
        <f t="shared" si="568"/>
        <v>8.4705640181144501E-2</v>
      </c>
      <c r="AD250" s="48">
        <f t="shared" si="568"/>
        <v>7.8433096969614674E-2</v>
      </c>
      <c r="AE250" s="48">
        <f t="shared" ca="1" si="568"/>
        <v>7.813825947189601E-2</v>
      </c>
      <c r="AF250" s="48">
        <f t="shared" ca="1" si="568"/>
        <v>7.7963417460754914E-2</v>
      </c>
      <c r="AG250" s="48">
        <f t="shared" ca="1" si="568"/>
        <v>7.7808286265585835E-2</v>
      </c>
      <c r="AH250" s="48">
        <f t="shared" ca="1" si="568"/>
        <v>7.7647864430118702E-2</v>
      </c>
      <c r="AI250" s="48">
        <f t="shared" ca="1" si="568"/>
        <v>7.75034959372492E-2</v>
      </c>
      <c r="AJ250" s="48">
        <f t="shared" ca="1" si="568"/>
        <v>7.7353493224525033E-2</v>
      </c>
      <c r="AK250" s="48">
        <f t="shared" ca="1" si="568"/>
        <v>7.7217316384553911E-2</v>
      </c>
      <c r="AL250" s="48">
        <f t="shared" ca="1" si="568"/>
        <v>7.7110509029589935E-2</v>
      </c>
      <c r="AM250" s="48">
        <f t="shared" ca="1" si="568"/>
        <v>7.701251776901534E-2</v>
      </c>
      <c r="AN250" s="48">
        <f t="shared" ca="1" si="568"/>
        <v>7.6922267912057321E-2</v>
      </c>
      <c r="AO250" s="39"/>
      <c r="AP250" s="39"/>
      <c r="XFD250" s="39"/>
    </row>
    <row r="251" spans="1:42 16384:16384" s="3" customFormat="1" outlineLevel="1">
      <c r="A251" s="263"/>
      <c r="B251" s="263"/>
      <c r="C251" s="21"/>
      <c r="D251"/>
      <c r="E251" s="45" t="s">
        <v>209</v>
      </c>
      <c r="F251"/>
      <c r="G25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48"/>
      <c r="AA251" s="48"/>
      <c r="AB251" s="48">
        <f t="shared" ref="AB251:AN251" si="569">IFERROR(AB247/AB179,"na")</f>
        <v>0</v>
      </c>
      <c r="AC251" s="48">
        <f t="shared" si="569"/>
        <v>7.366630862871465E-2</v>
      </c>
      <c r="AD251" s="48">
        <f t="shared" si="569"/>
        <v>6.4696539810639345E-2</v>
      </c>
      <c r="AE251" s="48">
        <f t="shared" ca="1" si="569"/>
        <v>6.7560590983653662E-2</v>
      </c>
      <c r="AF251" s="48">
        <f t="shared" ca="1" si="569"/>
        <v>6.8076186881637149E-2</v>
      </c>
      <c r="AG251" s="48">
        <f t="shared" ca="1" si="569"/>
        <v>6.8175868967021422E-2</v>
      </c>
      <c r="AH251" s="48">
        <f t="shared" ca="1" si="569"/>
        <v>6.8377108273999024E-2</v>
      </c>
      <c r="AI251" s="48">
        <f t="shared" ca="1" si="569"/>
        <v>6.8268856951753942E-2</v>
      </c>
      <c r="AJ251" s="48">
        <f t="shared" ca="1" si="569"/>
        <v>6.8342659337995409E-2</v>
      </c>
      <c r="AK251" s="48">
        <f t="shared" ca="1" si="569"/>
        <v>6.8163425633475411E-2</v>
      </c>
      <c r="AL251" s="48">
        <f t="shared" ca="1" si="569"/>
        <v>6.7411576572373663E-2</v>
      </c>
      <c r="AM251" s="48">
        <f t="shared" ca="1" si="569"/>
        <v>6.6659498956086236E-2</v>
      </c>
      <c r="AN251" s="48">
        <f t="shared" ca="1" si="569"/>
        <v>6.5923868305305902E-2</v>
      </c>
      <c r="AO251" s="39"/>
    </row>
    <row r="252" spans="1:42 16384:16384" s="3" customFormat="1" outlineLevel="1">
      <c r="A252" s="263"/>
      <c r="B252" s="263"/>
      <c r="C252" s="21"/>
      <c r="D252"/>
      <c r="E252" s="45" t="s">
        <v>210</v>
      </c>
      <c r="F252"/>
      <c r="G252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3"/>
      <c r="AA252" s="63"/>
      <c r="AB252" s="63" t="e">
        <f>-AB247/(AB163)</f>
        <v>#DIV/0!</v>
      </c>
      <c r="AC252" s="63" t="e">
        <f>-AC247/(AC163)</f>
        <v>#DIV/0!</v>
      </c>
      <c r="AD252" s="280">
        <f>AD283</f>
        <v>5</v>
      </c>
      <c r="AE252" s="280">
        <f>AE283</f>
        <v>5</v>
      </c>
      <c r="AF252" s="280">
        <f>AF283</f>
        <v>5</v>
      </c>
      <c r="AG252" s="280">
        <f t="shared" ref="AG252:AN252" si="570">AG283</f>
        <v>5</v>
      </c>
      <c r="AH252" s="280">
        <f t="shared" si="570"/>
        <v>5</v>
      </c>
      <c r="AI252" s="280">
        <f t="shared" si="570"/>
        <v>5</v>
      </c>
      <c r="AJ252" s="280">
        <f t="shared" si="570"/>
        <v>5</v>
      </c>
      <c r="AK252" s="280">
        <f t="shared" si="570"/>
        <v>5</v>
      </c>
      <c r="AL252" s="280">
        <f t="shared" si="570"/>
        <v>5</v>
      </c>
      <c r="AM252" s="280">
        <f t="shared" si="570"/>
        <v>5</v>
      </c>
      <c r="AN252" s="280">
        <f t="shared" si="570"/>
        <v>5</v>
      </c>
      <c r="AO252" s="39"/>
    </row>
    <row r="253" spans="1:42 16384:16384" s="3" customFormat="1" outlineLevel="1">
      <c r="A253" s="263"/>
      <c r="B253" s="263"/>
      <c r="C253" s="21"/>
      <c r="D253"/>
      <c r="E253" s="45" t="s">
        <v>118</v>
      </c>
      <c r="F253"/>
      <c r="G253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0"/>
      <c r="AA253" s="60"/>
      <c r="AB253" s="60" t="str">
        <f>IFERROR(AB262/SUM(AB247:AB247),"na")</f>
        <v>na</v>
      </c>
      <c r="AC253" s="60">
        <f>IFERROR(AC262/SUM(AC247:AC247),"na")</f>
        <v>0</v>
      </c>
      <c r="AD253" s="279">
        <v>3.5000000000000003E-2</v>
      </c>
      <c r="AE253" s="279">
        <f>+AD253</f>
        <v>3.5000000000000003E-2</v>
      </c>
      <c r="AF253" s="279">
        <f t="shared" ref="AF253:AN253" si="571">+AE253</f>
        <v>3.5000000000000003E-2</v>
      </c>
      <c r="AG253" s="279">
        <f t="shared" si="571"/>
        <v>3.5000000000000003E-2</v>
      </c>
      <c r="AH253" s="279">
        <f t="shared" si="571"/>
        <v>3.5000000000000003E-2</v>
      </c>
      <c r="AI253" s="279">
        <f t="shared" si="571"/>
        <v>3.5000000000000003E-2</v>
      </c>
      <c r="AJ253" s="279">
        <f t="shared" si="571"/>
        <v>3.5000000000000003E-2</v>
      </c>
      <c r="AK253" s="279">
        <f t="shared" si="571"/>
        <v>3.5000000000000003E-2</v>
      </c>
      <c r="AL253" s="279">
        <f t="shared" si="571"/>
        <v>3.5000000000000003E-2</v>
      </c>
      <c r="AM253" s="279">
        <f t="shared" si="571"/>
        <v>3.5000000000000003E-2</v>
      </c>
      <c r="AN253" s="279">
        <f t="shared" si="571"/>
        <v>3.5000000000000003E-2</v>
      </c>
      <c r="AO253" s="39"/>
    </row>
    <row r="254" spans="1:42 16384:16384" s="3" customFormat="1" outlineLevel="1">
      <c r="A254" s="263"/>
      <c r="B254" s="263"/>
      <c r="C254" s="21"/>
      <c r="D254"/>
      <c r="E254" s="45" t="s">
        <v>238</v>
      </c>
      <c r="F254"/>
      <c r="G254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48"/>
      <c r="AA254" s="48"/>
      <c r="AB254" s="48">
        <f>AB189/SUM(AB189,AB193)</f>
        <v>0</v>
      </c>
      <c r="AC254" s="48">
        <f>AC189/SUM(AC189,AC193)</f>
        <v>0</v>
      </c>
      <c r="AD254" s="281">
        <v>0</v>
      </c>
      <c r="AE254" s="281">
        <f t="shared" ref="AE254:AN254" si="572">AD254</f>
        <v>0</v>
      </c>
      <c r="AF254" s="281">
        <f t="shared" si="572"/>
        <v>0</v>
      </c>
      <c r="AG254" s="281">
        <f t="shared" si="572"/>
        <v>0</v>
      </c>
      <c r="AH254" s="281">
        <f t="shared" si="572"/>
        <v>0</v>
      </c>
      <c r="AI254" s="281">
        <f t="shared" si="572"/>
        <v>0</v>
      </c>
      <c r="AJ254" s="281">
        <f t="shared" si="572"/>
        <v>0</v>
      </c>
      <c r="AK254" s="281">
        <f t="shared" si="572"/>
        <v>0</v>
      </c>
      <c r="AL254" s="281">
        <f t="shared" si="572"/>
        <v>0</v>
      </c>
      <c r="AM254" s="281">
        <f t="shared" si="572"/>
        <v>0</v>
      </c>
      <c r="AN254" s="281">
        <f t="shared" si="572"/>
        <v>0</v>
      </c>
      <c r="AO254" s="39"/>
    </row>
    <row r="255" spans="1:42 16384:16384" s="3" customFormat="1" outlineLevel="1">
      <c r="A255" s="263"/>
      <c r="B255" s="263"/>
      <c r="C255" s="21"/>
      <c r="D255"/>
      <c r="E255" s="45"/>
      <c r="F255"/>
      <c r="G25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48"/>
      <c r="AA255" s="48"/>
      <c r="AB255" s="48"/>
      <c r="AC255" s="48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39"/>
    </row>
    <row r="256" spans="1:42 16384:16384" s="3" customFormat="1" outlineLevel="1">
      <c r="A256" s="263"/>
      <c r="B256" s="263"/>
      <c r="C256" s="21"/>
      <c r="D256"/>
      <c r="E256" s="42" t="s">
        <v>312</v>
      </c>
      <c r="F256"/>
      <c r="G25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48"/>
      <c r="AA256" s="48"/>
      <c r="AB256" s="48"/>
      <c r="AC256" s="6">
        <f>+SUMPRODUCT(AC231:AC243,$G$231:$G$243)</f>
        <v>348.56350000000003</v>
      </c>
      <c r="AD256" s="6">
        <f ca="1">+SUMPRODUCT(AD231:AD244,$G$231:$G$244)</f>
        <v>428.20182196722544</v>
      </c>
      <c r="AE256" s="6">
        <f t="shared" ref="AE256:AN256" ca="1" si="573">+SUMPRODUCT(AE231:AE244,$G$231:$G$244)</f>
        <v>537.79120159609067</v>
      </c>
      <c r="AF256" s="6">
        <f t="shared" ca="1" si="573"/>
        <v>571.54846052382993</v>
      </c>
      <c r="AG256" s="6">
        <f t="shared" ca="1" si="573"/>
        <v>638.66505184537255</v>
      </c>
      <c r="AH256" s="6">
        <f t="shared" ca="1" si="573"/>
        <v>703.741974901243</v>
      </c>
      <c r="AI256" s="6">
        <f t="shared" ca="1" si="573"/>
        <v>745.63804242702213</v>
      </c>
      <c r="AJ256" s="6">
        <f t="shared" ca="1" si="573"/>
        <v>788.10319795267628</v>
      </c>
      <c r="AK256" s="6">
        <f t="shared" ca="1" si="573"/>
        <v>832.18393541895807</v>
      </c>
      <c r="AL256" s="6">
        <f t="shared" ca="1" si="573"/>
        <v>879.81903160268212</v>
      </c>
      <c r="AM256" s="6">
        <f t="shared" ca="1" si="573"/>
        <v>926.43584629418388</v>
      </c>
      <c r="AN256" s="6">
        <f t="shared" ca="1" si="573"/>
        <v>971.80230935211307</v>
      </c>
      <c r="AO256" s="39"/>
    </row>
    <row r="257" spans="1:43" s="3" customFormat="1" outlineLevel="1">
      <c r="A257" s="263"/>
      <c r="B257" s="263"/>
      <c r="C257" s="21"/>
      <c r="D257"/>
      <c r="E257" s="42" t="s">
        <v>315</v>
      </c>
      <c r="F257"/>
      <c r="G25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48"/>
      <c r="AA257" s="48"/>
      <c r="AB257" s="48"/>
      <c r="AC257" s="132">
        <f>+AC258-AC256</f>
        <v>75.436499999999967</v>
      </c>
      <c r="AD257" s="6">
        <f>+AC257</f>
        <v>75.436499999999967</v>
      </c>
      <c r="AE257" s="6">
        <f t="shared" ref="AE257:AN257" si="574">+AD257</f>
        <v>75.436499999999967</v>
      </c>
      <c r="AF257" s="6">
        <f t="shared" si="574"/>
        <v>75.436499999999967</v>
      </c>
      <c r="AG257" s="6">
        <f t="shared" si="574"/>
        <v>75.436499999999967</v>
      </c>
      <c r="AH257" s="6">
        <f t="shared" si="574"/>
        <v>75.436499999999967</v>
      </c>
      <c r="AI257" s="6">
        <f t="shared" si="574"/>
        <v>75.436499999999967</v>
      </c>
      <c r="AJ257" s="6">
        <f t="shared" si="574"/>
        <v>75.436499999999967</v>
      </c>
      <c r="AK257" s="6">
        <f t="shared" si="574"/>
        <v>75.436499999999967</v>
      </c>
      <c r="AL257" s="6">
        <f t="shared" si="574"/>
        <v>75.436499999999967</v>
      </c>
      <c r="AM257" s="6">
        <f t="shared" si="574"/>
        <v>75.436499999999967</v>
      </c>
      <c r="AN257" s="6">
        <f t="shared" si="574"/>
        <v>75.436499999999967</v>
      </c>
      <c r="AO257" s="39"/>
    </row>
    <row r="258" spans="1:43" s="3" customFormat="1" outlineLevel="1">
      <c r="A258" s="263"/>
      <c r="B258" s="263"/>
      <c r="C258" s="21"/>
      <c r="D258"/>
      <c r="E258" s="42" t="s">
        <v>313</v>
      </c>
      <c r="F258"/>
      <c r="G258"/>
      <c r="H258" s="6"/>
      <c r="I258" s="6"/>
      <c r="J258" s="6"/>
      <c r="K258" s="6"/>
      <c r="L258" s="6"/>
      <c r="M258" s="6"/>
      <c r="N258" s="6"/>
      <c r="O258" s="6"/>
      <c r="P258" s="6"/>
      <c r="Q258" s="6">
        <f t="shared" ref="Q258:AC258" si="575">+Q20</f>
        <v>226</v>
      </c>
      <c r="R258" s="6">
        <f t="shared" si="575"/>
        <v>255</v>
      </c>
      <c r="S258" s="6">
        <f t="shared" si="575"/>
        <v>228</v>
      </c>
      <c r="T258" s="6">
        <f t="shared" si="575"/>
        <v>512</v>
      </c>
      <c r="U258" s="6">
        <f t="shared" si="575"/>
        <v>475</v>
      </c>
      <c r="V258" s="6">
        <f t="shared" si="575"/>
        <v>555</v>
      </c>
      <c r="W258" s="6">
        <f t="shared" si="575"/>
        <v>567</v>
      </c>
      <c r="X258" s="6">
        <f t="shared" si="575"/>
        <v>511</v>
      </c>
      <c r="Y258" s="6">
        <f t="shared" si="575"/>
        <v>464</v>
      </c>
      <c r="Z258" s="6">
        <f t="shared" si="575"/>
        <v>481</v>
      </c>
      <c r="AA258" s="6">
        <f t="shared" si="575"/>
        <v>648</v>
      </c>
      <c r="AB258" s="6">
        <f t="shared" si="575"/>
        <v>669</v>
      </c>
      <c r="AC258" s="6">
        <f t="shared" si="575"/>
        <v>424</v>
      </c>
      <c r="AD258" s="208">
        <f ca="1">AD257+AD256</f>
        <v>503.63832196722541</v>
      </c>
      <c r="AE258" s="208">
        <f t="shared" ref="AE258:AN258" ca="1" si="576">AE257+AE256</f>
        <v>613.22770159609058</v>
      </c>
      <c r="AF258" s="208">
        <f t="shared" ca="1" si="576"/>
        <v>646.98496052382984</v>
      </c>
      <c r="AG258" s="208">
        <f t="shared" ca="1" si="576"/>
        <v>714.10155184537257</v>
      </c>
      <c r="AH258" s="208">
        <f t="shared" ca="1" si="576"/>
        <v>779.17847490124291</v>
      </c>
      <c r="AI258" s="208">
        <f t="shared" ca="1" si="576"/>
        <v>821.07454242702215</v>
      </c>
      <c r="AJ258" s="208">
        <f t="shared" ca="1" si="576"/>
        <v>863.53969795267631</v>
      </c>
      <c r="AK258" s="208">
        <f t="shared" ca="1" si="576"/>
        <v>907.6204354189581</v>
      </c>
      <c r="AL258" s="208">
        <f t="shared" ca="1" si="576"/>
        <v>955.25553160268214</v>
      </c>
      <c r="AM258" s="208">
        <f t="shared" ca="1" si="576"/>
        <v>1001.8723462941839</v>
      </c>
      <c r="AN258" s="208">
        <f t="shared" ca="1" si="576"/>
        <v>1047.2388093521131</v>
      </c>
      <c r="AO258" s="39"/>
    </row>
    <row r="259" spans="1:43" s="3" customFormat="1" outlineLevel="1">
      <c r="A259" s="263"/>
      <c r="B259" s="263"/>
      <c r="C259" s="21"/>
      <c r="D259"/>
      <c r="E259" s="42" t="s">
        <v>314</v>
      </c>
      <c r="F259"/>
      <c r="G259"/>
      <c r="H259" s="6"/>
      <c r="I259" s="6"/>
      <c r="J259" s="6"/>
      <c r="K259" s="6"/>
      <c r="L259" s="6"/>
      <c r="M259" s="6"/>
      <c r="N259" s="6"/>
      <c r="O259" s="6"/>
      <c r="P259" s="6"/>
      <c r="Q259" s="197" t="e">
        <f t="shared" ref="Q259:AN259" si="577">Q258/AVERAGE(P222:Q222)</f>
        <v>#DIV/0!</v>
      </c>
      <c r="R259" s="197" t="e">
        <f t="shared" si="577"/>
        <v>#DIV/0!</v>
      </c>
      <c r="S259" s="197">
        <f t="shared" si="577"/>
        <v>7.4950690335305714E-2</v>
      </c>
      <c r="T259" s="197">
        <f t="shared" si="577"/>
        <v>9.8927639841561207E-2</v>
      </c>
      <c r="U259" s="197">
        <f t="shared" si="577"/>
        <v>6.5598674216268471E-2</v>
      </c>
      <c r="V259" s="197">
        <f t="shared" si="577"/>
        <v>7.2906403940886697E-2</v>
      </c>
      <c r="W259" s="197">
        <f t="shared" si="577"/>
        <v>6.9939558406315536E-2</v>
      </c>
      <c r="X259" s="197">
        <f t="shared" si="577"/>
        <v>6.4067201604814439E-2</v>
      </c>
      <c r="Y259" s="197">
        <f t="shared" si="577"/>
        <v>5.3859547301218808E-2</v>
      </c>
      <c r="Z259" s="197">
        <f t="shared" si="577"/>
        <v>4.5405201302685612E-2</v>
      </c>
      <c r="AA259" s="197">
        <f t="shared" si="577"/>
        <v>5.5922330097087379E-2</v>
      </c>
      <c r="AB259" s="197">
        <f t="shared" si="577"/>
        <v>6.3382283278067261E-2</v>
      </c>
      <c r="AC259" s="197">
        <f t="shared" si="577"/>
        <v>4.378582124231941E-2</v>
      </c>
      <c r="AD259" s="197">
        <f t="shared" ca="1" si="577"/>
        <v>4.7648486720950144E-2</v>
      </c>
      <c r="AE259" s="197">
        <f t="shared" ca="1" si="577"/>
        <v>4.9713639712394835E-2</v>
      </c>
      <c r="AF259" s="197">
        <f t="shared" ca="1" si="577"/>
        <v>4.760483444359595E-2</v>
      </c>
      <c r="AG259" s="197">
        <f t="shared" ca="1" si="577"/>
        <v>4.9738468310830002E-2</v>
      </c>
      <c r="AH259" s="197">
        <f t="shared" ca="1" si="577"/>
        <v>5.1283333749777865E-2</v>
      </c>
      <c r="AI259" s="197">
        <f t="shared" ca="1" si="577"/>
        <v>5.0984343821554964E-2</v>
      </c>
      <c r="AJ259" s="197">
        <f t="shared" ca="1" si="577"/>
        <v>5.0496690919125037E-2</v>
      </c>
      <c r="AK259" s="197">
        <f t="shared" ca="1" si="577"/>
        <v>4.9895310116539603E-2</v>
      </c>
      <c r="AL259" s="197">
        <f t="shared" ca="1" si="577"/>
        <v>4.9550147661621802E-2</v>
      </c>
      <c r="AM259" s="197">
        <f t="shared" ca="1" si="577"/>
        <v>4.9240662948981433E-2</v>
      </c>
      <c r="AN259" s="197">
        <f t="shared" ca="1" si="577"/>
        <v>4.9135014607469996E-2</v>
      </c>
      <c r="AO259" s="39"/>
    </row>
    <row r="260" spans="1:43" s="3" customFormat="1" outlineLevel="1">
      <c r="A260" s="263"/>
      <c r="B260" s="263"/>
      <c r="C260" s="21"/>
      <c r="D260"/>
      <c r="E260" s="45"/>
      <c r="F260"/>
      <c r="G260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39"/>
    </row>
    <row r="261" spans="1:43" s="3" customFormat="1" outlineLevel="1">
      <c r="A261" s="263"/>
      <c r="B261" s="263" t="s">
        <v>202</v>
      </c>
      <c r="C261" s="21"/>
      <c r="D261"/>
      <c r="E261" s="45" t="s">
        <v>202</v>
      </c>
      <c r="F261"/>
      <c r="G261"/>
      <c r="H261" s="6"/>
      <c r="I261" s="6"/>
      <c r="J261" s="6"/>
      <c r="K261" s="6"/>
      <c r="L261" s="6"/>
      <c r="M261" s="6"/>
      <c r="N261" s="6"/>
      <c r="O261" s="6"/>
      <c r="P261" s="6"/>
      <c r="Q261" s="6">
        <f t="shared" ref="Q261:AN261" si="578">Q224</f>
        <v>0</v>
      </c>
      <c r="R261" s="6">
        <f t="shared" si="578"/>
        <v>0</v>
      </c>
      <c r="S261" s="6">
        <f t="shared" si="578"/>
        <v>228</v>
      </c>
      <c r="T261" s="6">
        <f t="shared" si="578"/>
        <v>512</v>
      </c>
      <c r="U261" s="6">
        <f t="shared" si="578"/>
        <v>475</v>
      </c>
      <c r="V261" s="6">
        <f t="shared" si="578"/>
        <v>555</v>
      </c>
      <c r="W261" s="6">
        <f t="shared" si="578"/>
        <v>567</v>
      </c>
      <c r="X261" s="6">
        <f t="shared" si="578"/>
        <v>511</v>
      </c>
      <c r="Y261" s="6">
        <f t="shared" si="578"/>
        <v>464</v>
      </c>
      <c r="Z261" s="6">
        <f t="shared" si="578"/>
        <v>481</v>
      </c>
      <c r="AA261" s="6">
        <f t="shared" si="578"/>
        <v>648</v>
      </c>
      <c r="AB261" s="6">
        <f t="shared" si="578"/>
        <v>669</v>
      </c>
      <c r="AC261" s="6">
        <f t="shared" si="578"/>
        <v>424</v>
      </c>
      <c r="AD261" s="6">
        <f t="shared" ca="1" si="578"/>
        <v>475.64416098361272</v>
      </c>
      <c r="AE261" s="6">
        <f t="shared" ca="1" si="578"/>
        <v>555.08401178165798</v>
      </c>
      <c r="AF261" s="6">
        <f t="shared" ca="1" si="578"/>
        <v>611.5833310599603</v>
      </c>
      <c r="AG261" s="6">
        <f t="shared" ca="1" si="578"/>
        <v>646.07075618460124</v>
      </c>
      <c r="AH261" s="6">
        <f t="shared" ca="1" si="578"/>
        <v>683.71201337330774</v>
      </c>
      <c r="AI261" s="6">
        <f t="shared" ca="1" si="578"/>
        <v>724.7000086641325</v>
      </c>
      <c r="AJ261" s="6">
        <f t="shared" ca="1" si="578"/>
        <v>769.54124518984929</v>
      </c>
      <c r="AK261" s="6">
        <f t="shared" ca="1" si="578"/>
        <v>818.57231668581721</v>
      </c>
      <c r="AL261" s="6">
        <f t="shared" ca="1" si="578"/>
        <v>867.53523351082026</v>
      </c>
      <c r="AM261" s="6">
        <f t="shared" ca="1" si="578"/>
        <v>915.58993894843297</v>
      </c>
      <c r="AN261" s="6">
        <f t="shared" ca="1" si="578"/>
        <v>959.10720282314844</v>
      </c>
      <c r="AO261" s="39"/>
    </row>
    <row r="262" spans="1:43" s="3" customFormat="1" outlineLevel="1">
      <c r="A262" s="263"/>
      <c r="B262" s="263" t="s">
        <v>203</v>
      </c>
      <c r="C262" s="21"/>
      <c r="D262"/>
      <c r="E262" s="45" t="s">
        <v>203</v>
      </c>
      <c r="F262"/>
      <c r="G262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273">
        <v>0</v>
      </c>
      <c r="AE262" s="273">
        <v>0</v>
      </c>
      <c r="AF262" s="273">
        <v>0</v>
      </c>
      <c r="AG262" s="273">
        <f>AF262</f>
        <v>0</v>
      </c>
      <c r="AH262" s="273">
        <f t="shared" ref="AH262" si="579">AG262</f>
        <v>0</v>
      </c>
      <c r="AI262" s="273">
        <f t="shared" ref="AI262" si="580">AH262</f>
        <v>0</v>
      </c>
      <c r="AJ262" s="273">
        <f t="shared" ref="AJ262" si="581">AI262</f>
        <v>0</v>
      </c>
      <c r="AK262" s="273">
        <f t="shared" ref="AK262" si="582">AJ262</f>
        <v>0</v>
      </c>
      <c r="AL262" s="273">
        <f t="shared" ref="AL262" si="583">AK262</f>
        <v>0</v>
      </c>
      <c r="AM262" s="273">
        <f t="shared" ref="AM262" si="584">AL262</f>
        <v>0</v>
      </c>
      <c r="AN262" s="273">
        <f t="shared" ref="AN262" si="585">AM262</f>
        <v>0</v>
      </c>
      <c r="AO262" s="39"/>
    </row>
    <row r="263" spans="1:43" s="3" customFormat="1" outlineLevel="1">
      <c r="A263" s="263"/>
      <c r="B263" s="263"/>
      <c r="C263" s="21"/>
      <c r="D263"/>
      <c r="E263" s="45" t="s">
        <v>204</v>
      </c>
      <c r="F263"/>
      <c r="G263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273">
        <v>0</v>
      </c>
      <c r="AE263" s="273">
        <v>0</v>
      </c>
      <c r="AF263" s="273">
        <v>0</v>
      </c>
      <c r="AG263" s="273">
        <f>AF263</f>
        <v>0</v>
      </c>
      <c r="AH263" s="273">
        <f t="shared" ref="AH263:AN263" si="586">AG263</f>
        <v>0</v>
      </c>
      <c r="AI263" s="273">
        <f t="shared" si="586"/>
        <v>0</v>
      </c>
      <c r="AJ263" s="273">
        <f t="shared" si="586"/>
        <v>0</v>
      </c>
      <c r="AK263" s="273">
        <f t="shared" si="586"/>
        <v>0</v>
      </c>
      <c r="AL263" s="273">
        <f t="shared" si="586"/>
        <v>0</v>
      </c>
      <c r="AM263" s="273">
        <f t="shared" si="586"/>
        <v>0</v>
      </c>
      <c r="AN263" s="273">
        <f t="shared" si="586"/>
        <v>0</v>
      </c>
      <c r="AO263" s="39"/>
    </row>
    <row r="264" spans="1:43" s="3" customFormat="1" outlineLevel="1">
      <c r="A264" s="263"/>
      <c r="B264" s="263"/>
      <c r="C264" s="96"/>
      <c r="E264" s="2" t="s">
        <v>205</v>
      </c>
      <c r="F264" s="2"/>
      <c r="G264" s="2"/>
      <c r="H264" s="7"/>
      <c r="I264" s="7"/>
      <c r="J264" s="7"/>
      <c r="K264" s="7"/>
      <c r="L264" s="7"/>
      <c r="M264" s="7"/>
      <c r="N264" s="7"/>
      <c r="O264" s="7"/>
      <c r="P264" s="7"/>
      <c r="Q264" s="7">
        <f t="shared" ref="Q264" si="587">SUM(Q261:Q263)</f>
        <v>0</v>
      </c>
      <c r="R264" s="7">
        <f t="shared" ref="R264" si="588">SUM(R261:R263)</f>
        <v>0</v>
      </c>
      <c r="S264" s="7">
        <f t="shared" ref="S264" si="589">SUM(S261:S263)</f>
        <v>228</v>
      </c>
      <c r="T264" s="7">
        <f t="shared" ref="T264" si="590">SUM(T261:T263)</f>
        <v>512</v>
      </c>
      <c r="U264" s="7">
        <f t="shared" ref="U264" si="591">SUM(U261:U263)</f>
        <v>475</v>
      </c>
      <c r="V264" s="7">
        <f t="shared" ref="V264" si="592">SUM(V261:V263)</f>
        <v>555</v>
      </c>
      <c r="W264" s="7">
        <f t="shared" ref="W264" si="593">SUM(W261:W263)</f>
        <v>567</v>
      </c>
      <c r="X264" s="7">
        <f t="shared" ref="X264:Y264" si="594">SUM(X261:X263)</f>
        <v>511</v>
      </c>
      <c r="Y264" s="7">
        <f t="shared" si="594"/>
        <v>464</v>
      </c>
      <c r="Z264" s="7">
        <f t="shared" ref="Z264:AN264" si="595">SUM(Z261:Z263)</f>
        <v>481</v>
      </c>
      <c r="AA264" s="7">
        <f t="shared" si="595"/>
        <v>648</v>
      </c>
      <c r="AB264" s="7">
        <f t="shared" si="595"/>
        <v>669</v>
      </c>
      <c r="AC264" s="7">
        <f t="shared" si="595"/>
        <v>424</v>
      </c>
      <c r="AD264" s="7">
        <f t="shared" ca="1" si="595"/>
        <v>475.64416098361272</v>
      </c>
      <c r="AE264" s="7">
        <f t="shared" ca="1" si="595"/>
        <v>555.08401178165798</v>
      </c>
      <c r="AF264" s="7">
        <f t="shared" ca="1" si="595"/>
        <v>611.5833310599603</v>
      </c>
      <c r="AG264" s="7">
        <f t="shared" ca="1" si="595"/>
        <v>646.07075618460124</v>
      </c>
      <c r="AH264" s="7">
        <f t="shared" ca="1" si="595"/>
        <v>683.71201337330774</v>
      </c>
      <c r="AI264" s="7">
        <f t="shared" ca="1" si="595"/>
        <v>724.7000086641325</v>
      </c>
      <c r="AJ264" s="7">
        <f t="shared" ca="1" si="595"/>
        <v>769.54124518984929</v>
      </c>
      <c r="AK264" s="7">
        <f t="shared" ca="1" si="595"/>
        <v>818.57231668581721</v>
      </c>
      <c r="AL264" s="7">
        <f t="shared" ca="1" si="595"/>
        <v>867.53523351082026</v>
      </c>
      <c r="AM264" s="7">
        <f t="shared" ca="1" si="595"/>
        <v>915.58993894843297</v>
      </c>
      <c r="AN264" s="7">
        <f t="shared" ca="1" si="595"/>
        <v>959.10720282314844</v>
      </c>
      <c r="AO264" s="39"/>
      <c r="AP264" s="160">
        <f ca="1">+(AM264/AC264)^(0.1)-1</f>
        <v>8.0024271430851668E-2</v>
      </c>
      <c r="AQ264" s="160">
        <f t="shared" ref="AQ264" si="596">+(AC264/S264)^(1/10)-1</f>
        <v>6.400360878375011E-2</v>
      </c>
    </row>
    <row r="265" spans="1:43" s="3" customFormat="1" outlineLevel="1">
      <c r="A265" s="263"/>
      <c r="B265" s="263"/>
      <c r="C265" s="21"/>
      <c r="D265"/>
      <c r="E265" s="146"/>
      <c r="F265"/>
      <c r="G26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39"/>
    </row>
    <row r="266" spans="1:43">
      <c r="D266" s="258"/>
      <c r="E266" s="259" t="s">
        <v>121</v>
      </c>
      <c r="F266" s="258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60">
        <f>+Y273+Y282</f>
        <v>8291</v>
      </c>
      <c r="Z266" s="260">
        <f>+Z273+Z282</f>
        <v>10214</v>
      </c>
      <c r="AA266" s="260">
        <f>+AA273+AA282</f>
        <v>11268</v>
      </c>
      <c r="AB266" s="260">
        <f>+AB273+AB282</f>
        <v>9997</v>
      </c>
      <c r="AC266" s="260">
        <f>+AC273+AC282</f>
        <v>11956</v>
      </c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</row>
    <row r="267" spans="1:43" ht="5.0999999999999996" customHeight="1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40"/>
      <c r="Y267" s="40"/>
      <c r="Z267" s="40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6"/>
    </row>
    <row r="268" spans="1:43" ht="15" customHeight="1" outlineLevel="1">
      <c r="E268" s="3" t="s">
        <v>222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40"/>
      <c r="Y268" s="145">
        <f>X273</f>
        <v>6619</v>
      </c>
      <c r="Z268" s="145">
        <f>Y273</f>
        <v>8291</v>
      </c>
      <c r="AA268" s="145">
        <f t="shared" ref="AA268:AN268" si="597">Z273</f>
        <v>10214</v>
      </c>
      <c r="AB268" s="145">
        <f t="shared" si="597"/>
        <v>10391</v>
      </c>
      <c r="AC268" s="145">
        <f t="shared" si="597"/>
        <v>9309</v>
      </c>
      <c r="AD268" s="145">
        <f t="shared" ref="AD268:AM268" si="598">AC273</f>
        <v>11172</v>
      </c>
      <c r="AE268" s="145">
        <f t="shared" si="598"/>
        <v>13771.994686691427</v>
      </c>
      <c r="AF268" s="145">
        <f t="shared" ca="1" si="598"/>
        <v>14372.954539653896</v>
      </c>
      <c r="AG268" s="145">
        <f t="shared" ca="1" si="598"/>
        <v>15071.87964789246</v>
      </c>
      <c r="AH268" s="145">
        <f t="shared" ca="1" si="598"/>
        <v>15849.603381111383</v>
      </c>
      <c r="AI268" s="145">
        <f t="shared" ca="1" si="598"/>
        <v>16725.828792573437</v>
      </c>
      <c r="AJ268" s="145">
        <f t="shared" ca="1" si="598"/>
        <v>17685.460691176413</v>
      </c>
      <c r="AK268" s="145">
        <f t="shared" ca="1" si="598"/>
        <v>18755.977866781188</v>
      </c>
      <c r="AL268" s="145">
        <f t="shared" ca="1" si="598"/>
        <v>19925.087470926595</v>
      </c>
      <c r="AM268" s="145">
        <f t="shared" ca="1" si="598"/>
        <v>21137.63908571779</v>
      </c>
      <c r="AN268" s="145">
        <f t="shared" ca="1" si="597"/>
        <v>22388.456857170942</v>
      </c>
      <c r="AO268" s="6"/>
    </row>
    <row r="269" spans="1:43" ht="15" customHeight="1" outlineLevel="1">
      <c r="B269" s="262" t="s">
        <v>242</v>
      </c>
      <c r="E269" s="45" t="s">
        <v>89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40"/>
      <c r="Y269" s="132">
        <f>-Y155</f>
        <v>1889</v>
      </c>
      <c r="Z269" s="132">
        <f>-Z155</f>
        <v>2291</v>
      </c>
      <c r="AA269" s="132">
        <f>-AA155</f>
        <v>2350</v>
      </c>
      <c r="AB269" s="132">
        <f>-AB155</f>
        <v>1158</v>
      </c>
      <c r="AC269" s="132">
        <f>-AC155</f>
        <v>3198</v>
      </c>
      <c r="AD269" s="49">
        <f t="shared" ref="AD269:AN269" si="599">-AD155-AD289</f>
        <v>3151.2015832431521</v>
      </c>
      <c r="AE269" s="49">
        <f t="shared" ca="1" si="599"/>
        <v>3466.0448579954732</v>
      </c>
      <c r="AF269" s="49">
        <f t="shared" ca="1" si="599"/>
        <v>3682.341975898717</v>
      </c>
      <c r="AG269" s="49">
        <f t="shared" ca="1" si="599"/>
        <v>3896.8045676069769</v>
      </c>
      <c r="AH269" s="49">
        <f t="shared" ca="1" si="599"/>
        <v>4145.0109715338458</v>
      </c>
      <c r="AI269" s="49">
        <f t="shared" ca="1" si="599"/>
        <v>4395.5736651370407</v>
      </c>
      <c r="AJ269" s="49">
        <f t="shared" ca="1" si="599"/>
        <v>4688.4780632082739</v>
      </c>
      <c r="AK269" s="49">
        <f t="shared" ca="1" si="599"/>
        <v>4988.7047243889901</v>
      </c>
      <c r="AL269" s="49">
        <f t="shared" ca="1" si="599"/>
        <v>5251.2915314251823</v>
      </c>
      <c r="AM269" s="49">
        <f t="shared" ca="1" si="599"/>
        <v>5516.7197115626077</v>
      </c>
      <c r="AN269" s="49">
        <f t="shared" ca="1" si="599"/>
        <v>5785.1178536745711</v>
      </c>
      <c r="AO269" s="6"/>
    </row>
    <row r="270" spans="1:43" ht="15" customHeight="1" outlineLevel="1">
      <c r="E270" s="45" t="s">
        <v>4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40"/>
      <c r="Y270" s="49">
        <f t="shared" ref="Y270" si="600">-Y297</f>
        <v>-1210</v>
      </c>
      <c r="Z270" s="49">
        <f>-Z297</f>
        <v>-1458</v>
      </c>
      <c r="AA270" s="49">
        <f>-AA297</f>
        <v>-1748</v>
      </c>
      <c r="AB270" s="49">
        <f>-AB297</f>
        <v>-1738</v>
      </c>
      <c r="AC270" s="49">
        <f t="shared" ref="AC270" si="601">-AC297</f>
        <v>-1750</v>
      </c>
      <c r="AD270" s="140">
        <f>-AD268/AD274</f>
        <v>-1926.2068965517242</v>
      </c>
      <c r="AE270" s="132">
        <f t="shared" ref="AE270:AN270" si="602">-AE268/AE274</f>
        <v>-2374.4818425330045</v>
      </c>
      <c r="AF270" s="132">
        <f t="shared" ca="1" si="602"/>
        <v>-2478.0956102851546</v>
      </c>
      <c r="AG270" s="132">
        <f t="shared" ca="1" si="602"/>
        <v>-2598.5999392918034</v>
      </c>
      <c r="AH270" s="132">
        <f t="shared" ca="1" si="602"/>
        <v>-2732.6902381226523</v>
      </c>
      <c r="AI270" s="132">
        <f t="shared" ca="1" si="602"/>
        <v>-2883.7635849264548</v>
      </c>
      <c r="AJ270" s="132">
        <f t="shared" ca="1" si="602"/>
        <v>-3049.2173605476573</v>
      </c>
      <c r="AK270" s="132">
        <f t="shared" ca="1" si="602"/>
        <v>-3233.789287376067</v>
      </c>
      <c r="AL270" s="132">
        <f t="shared" ca="1" si="602"/>
        <v>-3435.3599087804478</v>
      </c>
      <c r="AM270" s="132">
        <f t="shared" ca="1" si="602"/>
        <v>-3644.4205320203087</v>
      </c>
      <c r="AN270" s="132">
        <f t="shared" ca="1" si="602"/>
        <v>-3860.0787684777488</v>
      </c>
      <c r="AO270" s="6"/>
    </row>
    <row r="271" spans="1:43" ht="15" customHeight="1" outlineLevel="1">
      <c r="E271" s="45" t="s">
        <v>90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40"/>
      <c r="Y271" s="49">
        <f>-Y156-Y157</f>
        <v>1811</v>
      </c>
      <c r="Z271" s="49">
        <f>-Z156-Z157</f>
        <v>2279</v>
      </c>
      <c r="AA271" s="49">
        <f>-AA156-AA157</f>
        <v>-619</v>
      </c>
      <c r="AB271" s="49">
        <f>-AB156-AB157</f>
        <v>-898</v>
      </c>
      <c r="AC271" s="49">
        <f>-AC156-AC157</f>
        <v>438</v>
      </c>
      <c r="AD271" s="132">
        <f t="shared" ref="AD271:AN271" si="603">-AD82</f>
        <v>-625</v>
      </c>
      <c r="AE271" s="132">
        <f t="shared" si="603"/>
        <v>-490.60316250000005</v>
      </c>
      <c r="AF271" s="132">
        <f t="shared" si="603"/>
        <v>-505.32125737500002</v>
      </c>
      <c r="AG271" s="132">
        <f t="shared" si="603"/>
        <v>-520.48089509625004</v>
      </c>
      <c r="AH271" s="132">
        <f t="shared" si="603"/>
        <v>-536.09532194913754</v>
      </c>
      <c r="AI271" s="132">
        <f t="shared" si="603"/>
        <v>-552.17818160761169</v>
      </c>
      <c r="AJ271" s="132">
        <f t="shared" si="603"/>
        <v>-568.7435270558401</v>
      </c>
      <c r="AK271" s="132">
        <f t="shared" si="603"/>
        <v>-585.80583286751528</v>
      </c>
      <c r="AL271" s="132">
        <f t="shared" si="603"/>
        <v>-603.38000785354075</v>
      </c>
      <c r="AM271" s="132">
        <f t="shared" si="603"/>
        <v>-621.48140808914695</v>
      </c>
      <c r="AN271" s="132">
        <f t="shared" si="603"/>
        <v>-640.12585033182131</v>
      </c>
      <c r="AO271" s="6"/>
    </row>
    <row r="272" spans="1:43" ht="15" customHeight="1" outlineLevel="1">
      <c r="B272" s="262" t="s">
        <v>244</v>
      </c>
      <c r="E272" s="45" t="s">
        <v>86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40"/>
      <c r="Y272" s="6">
        <f>+Y273-SUM(Y268:Y271)</f>
        <v>-818</v>
      </c>
      <c r="Z272" s="6">
        <f>+Z273-SUM(Z268:Z271)</f>
        <v>-1189</v>
      </c>
      <c r="AA272" s="6">
        <f>+AA273-SUM(AA268:AA271)</f>
        <v>194</v>
      </c>
      <c r="AB272" s="6">
        <f>+AB273-SUM(AB268:AB271)</f>
        <v>396</v>
      </c>
      <c r="AC272" s="6">
        <f>+AC273-SUM(AC268:AC271)</f>
        <v>-23</v>
      </c>
      <c r="AD272" s="273">
        <f>-AD157</f>
        <v>2000</v>
      </c>
      <c r="AE272" s="273">
        <v>0</v>
      </c>
      <c r="AF272" s="273">
        <v>0</v>
      </c>
      <c r="AG272" s="273">
        <f>AF272</f>
        <v>0</v>
      </c>
      <c r="AH272" s="273">
        <f t="shared" ref="AH272:AN272" si="604">AG272</f>
        <v>0</v>
      </c>
      <c r="AI272" s="273">
        <f t="shared" si="604"/>
        <v>0</v>
      </c>
      <c r="AJ272" s="273">
        <f t="shared" si="604"/>
        <v>0</v>
      </c>
      <c r="AK272" s="273">
        <f t="shared" si="604"/>
        <v>0</v>
      </c>
      <c r="AL272" s="273">
        <f t="shared" si="604"/>
        <v>0</v>
      </c>
      <c r="AM272" s="273">
        <f t="shared" si="604"/>
        <v>0</v>
      </c>
      <c r="AN272" s="273">
        <f t="shared" si="604"/>
        <v>0</v>
      </c>
      <c r="AO272" s="6"/>
    </row>
    <row r="273" spans="1:42" s="3" customFormat="1" outlineLevel="1">
      <c r="A273" s="263"/>
      <c r="B273" s="263"/>
      <c r="C273" s="96"/>
      <c r="E273" s="103" t="s">
        <v>223</v>
      </c>
      <c r="F273" s="2"/>
      <c r="G273" s="2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215">
        <f>6189+430</f>
        <v>6619</v>
      </c>
      <c r="Y273" s="70">
        <f>Y179</f>
        <v>8291</v>
      </c>
      <c r="Z273" s="70">
        <f>Z179</f>
        <v>10214</v>
      </c>
      <c r="AA273" s="70">
        <f>AA179</f>
        <v>10391</v>
      </c>
      <c r="AB273" s="70">
        <f>AB179</f>
        <v>9309</v>
      </c>
      <c r="AC273" s="70">
        <f>AC179</f>
        <v>11172</v>
      </c>
      <c r="AD273" s="71">
        <f t="shared" ref="AD273:AN273" si="605">SUM(AD268:AD272)</f>
        <v>13771.994686691427</v>
      </c>
      <c r="AE273" s="71">
        <f t="shared" ca="1" si="605"/>
        <v>14372.954539653896</v>
      </c>
      <c r="AF273" s="71">
        <f t="shared" ca="1" si="605"/>
        <v>15071.87964789246</v>
      </c>
      <c r="AG273" s="71">
        <f t="shared" ca="1" si="605"/>
        <v>15849.603381111383</v>
      </c>
      <c r="AH273" s="71">
        <f t="shared" ca="1" si="605"/>
        <v>16725.828792573437</v>
      </c>
      <c r="AI273" s="71">
        <f t="shared" ca="1" si="605"/>
        <v>17685.460691176413</v>
      </c>
      <c r="AJ273" s="71">
        <f t="shared" ca="1" si="605"/>
        <v>18755.977866781188</v>
      </c>
      <c r="AK273" s="71">
        <f t="shared" ca="1" si="605"/>
        <v>19925.087470926595</v>
      </c>
      <c r="AL273" s="71">
        <f t="shared" ca="1" si="605"/>
        <v>21137.63908571779</v>
      </c>
      <c r="AM273" s="71">
        <f t="shared" ca="1" si="605"/>
        <v>22388.456857170942</v>
      </c>
      <c r="AN273" s="71">
        <f t="shared" ca="1" si="605"/>
        <v>23673.370092035944</v>
      </c>
      <c r="AO273"/>
    </row>
    <row r="274" spans="1:42" ht="15" customHeight="1" outlineLevel="1">
      <c r="E274" s="45" t="s">
        <v>177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40"/>
      <c r="Y274" s="121">
        <f t="shared" ref="Y274" si="606">-AVERAGE(Y268,Y273)/Y270</f>
        <v>6.161157024793388</v>
      </c>
      <c r="Z274" s="121">
        <f t="shared" ref="Z274:AB274" si="607">-AVERAGE(Z268,Z273)/Z270</f>
        <v>6.3460219478737994</v>
      </c>
      <c r="AA274" s="121">
        <f t="shared" si="607"/>
        <v>5.8938787185354693</v>
      </c>
      <c r="AB274" s="121">
        <f t="shared" si="607"/>
        <v>5.6674338319907944</v>
      </c>
      <c r="AC274" s="121">
        <f t="shared" ref="AC274" si="608">-AVERAGE(AC268,AC273)/AC270</f>
        <v>5.8517142857142854</v>
      </c>
      <c r="AD274" s="280">
        <v>5.8</v>
      </c>
      <c r="AE274" s="280">
        <f>AD274</f>
        <v>5.8</v>
      </c>
      <c r="AF274" s="280">
        <f t="shared" ref="AF274:AN274" si="609">AE274</f>
        <v>5.8</v>
      </c>
      <c r="AG274" s="280">
        <f t="shared" si="609"/>
        <v>5.8</v>
      </c>
      <c r="AH274" s="280">
        <f t="shared" si="609"/>
        <v>5.8</v>
      </c>
      <c r="AI274" s="280">
        <f t="shared" si="609"/>
        <v>5.8</v>
      </c>
      <c r="AJ274" s="280">
        <f t="shared" si="609"/>
        <v>5.8</v>
      </c>
      <c r="AK274" s="280">
        <f t="shared" si="609"/>
        <v>5.8</v>
      </c>
      <c r="AL274" s="280">
        <f t="shared" si="609"/>
        <v>5.8</v>
      </c>
      <c r="AM274" s="280">
        <f t="shared" si="609"/>
        <v>5.8</v>
      </c>
      <c r="AN274" s="280">
        <f t="shared" si="609"/>
        <v>5.8</v>
      </c>
      <c r="AO274" s="6"/>
    </row>
    <row r="275" spans="1:42" ht="15" customHeight="1" outlineLevel="1">
      <c r="E275" s="45" t="s">
        <v>226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40"/>
      <c r="Y275" s="128">
        <f t="shared" ref="Y275" si="610">-Y269/Y270</f>
        <v>1.5611570247933884</v>
      </c>
      <c r="Z275" s="128">
        <f t="shared" ref="Z275:AB275" si="611">-Z269/Z270</f>
        <v>1.5713305898491083</v>
      </c>
      <c r="AA275" s="128">
        <f t="shared" si="611"/>
        <v>1.3443935926773456</v>
      </c>
      <c r="AB275" s="128">
        <f t="shared" si="611"/>
        <v>0.66628308400460301</v>
      </c>
      <c r="AC275" s="128">
        <f t="shared" ref="AC275" si="612">-AC269/AC270</f>
        <v>1.8274285714285714</v>
      </c>
      <c r="AD275" s="281">
        <v>1.7</v>
      </c>
      <c r="AE275" s="281">
        <f>AD275</f>
        <v>1.7</v>
      </c>
      <c r="AF275" s="281">
        <f>AE275</f>
        <v>1.7</v>
      </c>
      <c r="AG275" s="281">
        <f t="shared" ref="AG275:AN275" si="613">AF275</f>
        <v>1.7</v>
      </c>
      <c r="AH275" s="281">
        <f t="shared" si="613"/>
        <v>1.7</v>
      </c>
      <c r="AI275" s="281">
        <f t="shared" si="613"/>
        <v>1.7</v>
      </c>
      <c r="AJ275" s="281">
        <f t="shared" si="613"/>
        <v>1.7</v>
      </c>
      <c r="AK275" s="281">
        <f t="shared" si="613"/>
        <v>1.7</v>
      </c>
      <c r="AL275" s="281">
        <f t="shared" si="613"/>
        <v>1.7</v>
      </c>
      <c r="AM275" s="281">
        <f t="shared" si="613"/>
        <v>1.7</v>
      </c>
      <c r="AN275" s="281">
        <f t="shared" si="613"/>
        <v>1.7</v>
      </c>
      <c r="AO275" s="6"/>
    </row>
    <row r="276" spans="1:42" ht="15" customHeight="1" outlineLevel="1">
      <c r="E276" s="45" t="s">
        <v>178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40"/>
      <c r="Y276" s="102">
        <f t="shared" ref="Y276:AN276" si="614">Y10/AVERAGE(Y273,Y268)</f>
        <v>0.89081153588195838</v>
      </c>
      <c r="Z276" s="102">
        <f t="shared" si="614"/>
        <v>0.86971088894893267</v>
      </c>
      <c r="AA276" s="102">
        <f t="shared" si="614"/>
        <v>0.90764377578257704</v>
      </c>
      <c r="AB276" s="102">
        <f t="shared" si="614"/>
        <v>0.86598984771573606</v>
      </c>
      <c r="AC276" s="102">
        <f t="shared" si="614"/>
        <v>0.94878179776378102</v>
      </c>
      <c r="AD276" s="102">
        <f t="shared" si="614"/>
        <v>0.91084090656793937</v>
      </c>
      <c r="AE276" s="102">
        <f t="shared" ca="1" si="614"/>
        <v>0.88309064657588709</v>
      </c>
      <c r="AF276" s="102">
        <f t="shared" ca="1" si="614"/>
        <v>0.89390765051746457</v>
      </c>
      <c r="AG276" s="102">
        <f t="shared" ca="1" si="614"/>
        <v>0.89824107708585021</v>
      </c>
      <c r="AH276" s="102">
        <f t="shared" ca="1" si="614"/>
        <v>0.90429196287750202</v>
      </c>
      <c r="AI276" s="102">
        <f t="shared" ca="1" si="614"/>
        <v>0.90541308086582573</v>
      </c>
      <c r="AJ276" s="102">
        <f t="shared" ca="1" si="614"/>
        <v>0.90946530841898021</v>
      </c>
      <c r="AK276" s="102">
        <f t="shared" ca="1" si="614"/>
        <v>0.90942839452013247</v>
      </c>
      <c r="AL276" s="102">
        <f t="shared" ca="1" si="614"/>
        <v>0.90003542839870621</v>
      </c>
      <c r="AM276" s="102">
        <f t="shared" ca="1" si="614"/>
        <v>0.8904410316091762</v>
      </c>
      <c r="AN276" s="102">
        <f t="shared" ca="1" si="614"/>
        <v>0.88092620032524671</v>
      </c>
      <c r="AO276" s="6"/>
      <c r="AP276" s="102"/>
    </row>
    <row r="277" spans="1:42" ht="15" customHeight="1" outlineLevel="1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40"/>
      <c r="Y277" s="40"/>
      <c r="Z277" s="40"/>
      <c r="AA277" s="51"/>
      <c r="AB277" s="145"/>
      <c r="AC277" s="51"/>
      <c r="AD277" s="51"/>
      <c r="AE277" s="225">
        <f>+AE280-AD280</f>
        <v>0</v>
      </c>
      <c r="AF277" s="225">
        <f t="shared" ref="AF277:AN277" si="615">+AF280-AE280</f>
        <v>0</v>
      </c>
      <c r="AG277" s="225">
        <f t="shared" si="615"/>
        <v>0</v>
      </c>
      <c r="AH277" s="225">
        <f t="shared" si="615"/>
        <v>0</v>
      </c>
      <c r="AI277" s="225">
        <f t="shared" si="615"/>
        <v>0</v>
      </c>
      <c r="AJ277" s="225">
        <f t="shared" si="615"/>
        <v>0</v>
      </c>
      <c r="AK277" s="225">
        <f t="shared" si="615"/>
        <v>0</v>
      </c>
      <c r="AL277" s="225">
        <f t="shared" si="615"/>
        <v>0</v>
      </c>
      <c r="AM277" s="225">
        <f t="shared" si="615"/>
        <v>0</v>
      </c>
      <c r="AN277" s="225">
        <f t="shared" si="615"/>
        <v>0</v>
      </c>
      <c r="AO277" s="6"/>
    </row>
    <row r="278" spans="1:42" ht="15" customHeight="1" outlineLevel="1">
      <c r="E278" s="3" t="s">
        <v>180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40"/>
      <c r="Y278" s="40"/>
      <c r="Z278" s="40"/>
      <c r="AA278" s="51"/>
      <c r="AB278" s="145">
        <f>AA282</f>
        <v>877</v>
      </c>
      <c r="AC278" s="145">
        <f t="shared" ref="AC278:AN278" si="616">AB282</f>
        <v>688</v>
      </c>
      <c r="AD278" s="145">
        <f t="shared" si="616"/>
        <v>784</v>
      </c>
      <c r="AE278" s="145">
        <f t="shared" si="616"/>
        <v>852.0004025194454</v>
      </c>
      <c r="AF278" s="145">
        <f t="shared" ca="1" si="616"/>
        <v>932.04530288020499</v>
      </c>
      <c r="AG278" s="145">
        <f t="shared" ca="1" si="616"/>
        <v>987.0360955674704</v>
      </c>
      <c r="AH278" s="145">
        <f t="shared" ca="1" si="616"/>
        <v>1041.5604832899094</v>
      </c>
      <c r="AI278" s="145">
        <f t="shared" ca="1" si="616"/>
        <v>1104.6638063221642</v>
      </c>
      <c r="AJ278" s="145">
        <f t="shared" ca="1" si="616"/>
        <v>1168.36618605179</v>
      </c>
      <c r="AK278" s="145">
        <f t="shared" ca="1" si="616"/>
        <v>1242.8334059004085</v>
      </c>
      <c r="AL278" s="145">
        <f t="shared" ca="1" si="616"/>
        <v>1319.1622180649977</v>
      </c>
      <c r="AM278" s="145">
        <f t="shared" ca="1" si="616"/>
        <v>1385.9215757860632</v>
      </c>
      <c r="AN278" s="145">
        <f t="shared" ca="1" si="616"/>
        <v>1453.403316498968</v>
      </c>
      <c r="AO278" s="6"/>
    </row>
    <row r="279" spans="1:42" ht="15" customHeight="1" outlineLevel="1">
      <c r="E279" s="45" t="s">
        <v>227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40"/>
      <c r="Y279" s="40"/>
      <c r="Z279" s="40"/>
      <c r="AA279" s="51"/>
      <c r="AB279" s="6">
        <f t="shared" ref="AB279:AN279" si="617">AB282-SUM(AB280:AB281,AB278)</f>
        <v>-189</v>
      </c>
      <c r="AC279" s="6">
        <f t="shared" si="617"/>
        <v>96</v>
      </c>
      <c r="AD279" s="6">
        <f t="shared" si="617"/>
        <v>68.000402519445402</v>
      </c>
      <c r="AE279" s="6">
        <f t="shared" ca="1" si="617"/>
        <v>80.044900360759584</v>
      </c>
      <c r="AF279" s="6">
        <f t="shared" ca="1" si="617"/>
        <v>54.990792687265412</v>
      </c>
      <c r="AG279" s="6">
        <f t="shared" ca="1" si="617"/>
        <v>54.524387722438973</v>
      </c>
      <c r="AH279" s="6">
        <f t="shared" ca="1" si="617"/>
        <v>63.103323032254821</v>
      </c>
      <c r="AI279" s="6">
        <f t="shared" ca="1" si="617"/>
        <v>63.702379729625818</v>
      </c>
      <c r="AJ279" s="6">
        <f t="shared" ca="1" si="617"/>
        <v>74.46721984861847</v>
      </c>
      <c r="AK279" s="6">
        <f t="shared" ca="1" si="617"/>
        <v>76.328812164589181</v>
      </c>
      <c r="AL279" s="6">
        <f t="shared" ca="1" si="617"/>
        <v>66.759357721065498</v>
      </c>
      <c r="AM279" s="6">
        <f t="shared" ca="1" si="617"/>
        <v>67.481740712904866</v>
      </c>
      <c r="AN279" s="6">
        <f t="shared" ca="1" si="617"/>
        <v>68.23681579117715</v>
      </c>
      <c r="AO279" s="6"/>
    </row>
    <row r="280" spans="1:42" ht="15" customHeight="1" outlineLevel="1">
      <c r="E280" s="45" t="s">
        <v>4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40"/>
      <c r="Y280" s="40"/>
      <c r="Z280" s="40"/>
      <c r="AA280" s="51"/>
      <c r="AB280" s="6">
        <f>-AB298</f>
        <v>0</v>
      </c>
      <c r="AC280" s="6">
        <f>-AC298</f>
        <v>0</v>
      </c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6"/>
    </row>
    <row r="281" spans="1:42" ht="15" customHeight="1" outlineLevel="1">
      <c r="E281" s="45" t="s">
        <v>90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40"/>
      <c r="Y281" s="40"/>
      <c r="Z281" s="40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2" s="3" customFormat="1" outlineLevel="1">
      <c r="A282" s="263"/>
      <c r="B282" s="263" t="s">
        <v>181</v>
      </c>
      <c r="C282" s="96"/>
      <c r="E282" s="103" t="s">
        <v>181</v>
      </c>
      <c r="F282" s="2"/>
      <c r="G282" s="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91">
        <v>877</v>
      </c>
      <c r="AB282" s="191">
        <v>688</v>
      </c>
      <c r="AC282" s="191">
        <v>784</v>
      </c>
      <c r="AD282" s="71">
        <f t="shared" ref="AD282:AN282" si="618">AD104*AD284</f>
        <v>852.0004025194454</v>
      </c>
      <c r="AE282" s="71">
        <f t="shared" ca="1" si="618"/>
        <v>932.04530288020499</v>
      </c>
      <c r="AF282" s="71">
        <f t="shared" ca="1" si="618"/>
        <v>987.0360955674704</v>
      </c>
      <c r="AG282" s="71">
        <f t="shared" ca="1" si="618"/>
        <v>1041.5604832899094</v>
      </c>
      <c r="AH282" s="71">
        <f t="shared" ca="1" si="618"/>
        <v>1104.6638063221642</v>
      </c>
      <c r="AI282" s="71">
        <f t="shared" ca="1" si="618"/>
        <v>1168.36618605179</v>
      </c>
      <c r="AJ282" s="71">
        <f t="shared" ca="1" si="618"/>
        <v>1242.8334059004085</v>
      </c>
      <c r="AK282" s="71">
        <f t="shared" ca="1" si="618"/>
        <v>1319.1622180649977</v>
      </c>
      <c r="AL282" s="71">
        <f t="shared" ca="1" si="618"/>
        <v>1385.9215757860632</v>
      </c>
      <c r="AM282" s="71">
        <f t="shared" ca="1" si="618"/>
        <v>1453.403316498968</v>
      </c>
      <c r="AN282" s="71">
        <f t="shared" ca="1" si="618"/>
        <v>1521.6401322901452</v>
      </c>
      <c r="AO282"/>
    </row>
    <row r="283" spans="1:42" ht="15" customHeight="1" outlineLevel="1">
      <c r="E283" s="45" t="s">
        <v>177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40"/>
      <c r="Y283" s="40"/>
      <c r="Z283" s="40"/>
      <c r="AA283" s="51"/>
      <c r="AB283" s="63"/>
      <c r="AC283" s="63"/>
      <c r="AD283" s="280">
        <v>5</v>
      </c>
      <c r="AE283" s="280">
        <f t="shared" ref="AE283:AN283" si="619">AD283</f>
        <v>5</v>
      </c>
      <c r="AF283" s="280">
        <f t="shared" si="619"/>
        <v>5</v>
      </c>
      <c r="AG283" s="280">
        <f t="shared" si="619"/>
        <v>5</v>
      </c>
      <c r="AH283" s="280">
        <f t="shared" si="619"/>
        <v>5</v>
      </c>
      <c r="AI283" s="280">
        <f t="shared" si="619"/>
        <v>5</v>
      </c>
      <c r="AJ283" s="280">
        <f t="shared" si="619"/>
        <v>5</v>
      </c>
      <c r="AK283" s="280">
        <f t="shared" si="619"/>
        <v>5</v>
      </c>
      <c r="AL283" s="280">
        <f t="shared" si="619"/>
        <v>5</v>
      </c>
      <c r="AM283" s="280">
        <f t="shared" si="619"/>
        <v>5</v>
      </c>
      <c r="AN283" s="280">
        <f t="shared" si="619"/>
        <v>5</v>
      </c>
      <c r="AO283" s="6"/>
    </row>
    <row r="284" spans="1:42" ht="15" customHeight="1" outlineLevel="1">
      <c r="E284" s="45" t="s">
        <v>229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40"/>
      <c r="Y284" s="40"/>
      <c r="Z284" s="40"/>
      <c r="AA284" s="143">
        <f>AVERAGE(Z282:AA282)/AA104</f>
        <v>9.3786760774248745E-2</v>
      </c>
      <c r="AB284" s="143">
        <f>AVERAGE(AA282:AB282)/AB104</f>
        <v>9.1735052754982421E-2</v>
      </c>
      <c r="AC284" s="143">
        <f>AVERAGE(AB282:AC282)/AC104</f>
        <v>7.5751337999176618E-2</v>
      </c>
      <c r="AD284" s="202">
        <v>7.4999999999999997E-2</v>
      </c>
      <c r="AE284" s="202">
        <f t="shared" ref="AE284:AN284" si="620">AD284</f>
        <v>7.4999999999999997E-2</v>
      </c>
      <c r="AF284" s="202">
        <f t="shared" si="620"/>
        <v>7.4999999999999997E-2</v>
      </c>
      <c r="AG284" s="202">
        <f t="shared" si="620"/>
        <v>7.4999999999999997E-2</v>
      </c>
      <c r="AH284" s="202">
        <f t="shared" si="620"/>
        <v>7.4999999999999997E-2</v>
      </c>
      <c r="AI284" s="202">
        <f t="shared" si="620"/>
        <v>7.4999999999999997E-2</v>
      </c>
      <c r="AJ284" s="202">
        <f t="shared" si="620"/>
        <v>7.4999999999999997E-2</v>
      </c>
      <c r="AK284" s="202">
        <f t="shared" si="620"/>
        <v>7.4999999999999997E-2</v>
      </c>
      <c r="AL284" s="202">
        <f t="shared" si="620"/>
        <v>7.4999999999999997E-2</v>
      </c>
      <c r="AM284" s="202">
        <f t="shared" si="620"/>
        <v>7.4999999999999997E-2</v>
      </c>
      <c r="AN284" s="202">
        <f t="shared" si="620"/>
        <v>7.4999999999999997E-2</v>
      </c>
      <c r="AO284" s="6"/>
    </row>
    <row r="285" spans="1:42" ht="15" customHeight="1" outlineLevel="1">
      <c r="E285" s="45" t="s">
        <v>228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40"/>
      <c r="Y285" s="40"/>
      <c r="Z285" s="40"/>
      <c r="AA285" s="102">
        <f t="shared" ref="AA285:AN285" si="621">AA282/AA273</f>
        <v>8.4399961505148682E-2</v>
      </c>
      <c r="AB285" s="102">
        <f t="shared" si="621"/>
        <v>7.3906971747770972E-2</v>
      </c>
      <c r="AC285" s="102">
        <f t="shared" si="621"/>
        <v>7.0175438596491224E-2</v>
      </c>
      <c r="AD285" s="102">
        <f t="shared" si="621"/>
        <v>6.1864706014066094E-2</v>
      </c>
      <c r="AE285" s="102">
        <f t="shared" ca="1" si="621"/>
        <v>6.4847161403646159E-2</v>
      </c>
      <c r="AF285" s="102">
        <f t="shared" ca="1" si="621"/>
        <v>6.5488586601438942E-2</v>
      </c>
      <c r="AG285" s="102">
        <f t="shared" ca="1" si="621"/>
        <v>6.5715239570674641E-2</v>
      </c>
      <c r="AH285" s="102">
        <f t="shared" ca="1" si="621"/>
        <v>6.6045385255447217E-2</v>
      </c>
      <c r="AI285" s="102">
        <f t="shared" ca="1" si="621"/>
        <v>6.6063655703054905E-2</v>
      </c>
      <c r="AJ285" s="102">
        <f t="shared" ca="1" si="621"/>
        <v>6.6263322271327543E-2</v>
      </c>
      <c r="AK285" s="102">
        <f t="shared" ca="1" si="621"/>
        <v>6.6206094201083643E-2</v>
      </c>
      <c r="AL285" s="102">
        <f t="shared" ca="1" si="621"/>
        <v>6.556652661945099E-2</v>
      </c>
      <c r="AM285" s="102">
        <f t="shared" ca="1" si="621"/>
        <v>6.491752985795661E-2</v>
      </c>
      <c r="AN285" s="102">
        <f t="shared" ca="1" si="621"/>
        <v>6.4276447602280601E-2</v>
      </c>
      <c r="AO285" s="6"/>
    </row>
    <row r="286" spans="1:42" ht="15" customHeight="1" outlineLevel="1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40"/>
      <c r="Y286" s="40"/>
      <c r="Z286" s="40"/>
      <c r="AA286" s="51"/>
      <c r="AB286" s="281">
        <f t="shared" ref="AB286:AN286" si="622">-AB280/AB15</f>
        <v>0</v>
      </c>
      <c r="AC286" s="281">
        <f t="shared" si="622"/>
        <v>0</v>
      </c>
      <c r="AD286" s="281">
        <f t="shared" si="622"/>
        <v>0</v>
      </c>
      <c r="AE286" s="281">
        <f t="shared" si="622"/>
        <v>0</v>
      </c>
      <c r="AF286" s="281">
        <f t="shared" ca="1" si="622"/>
        <v>0</v>
      </c>
      <c r="AG286" s="281">
        <f t="shared" ca="1" si="622"/>
        <v>0</v>
      </c>
      <c r="AH286" s="281">
        <f t="shared" ca="1" si="622"/>
        <v>0</v>
      </c>
      <c r="AI286" s="281">
        <f t="shared" ca="1" si="622"/>
        <v>0</v>
      </c>
      <c r="AJ286" s="281">
        <f t="shared" ca="1" si="622"/>
        <v>0</v>
      </c>
      <c r="AK286" s="281">
        <f t="shared" ca="1" si="622"/>
        <v>0</v>
      </c>
      <c r="AL286" s="281">
        <f t="shared" ca="1" si="622"/>
        <v>0</v>
      </c>
      <c r="AM286" s="281">
        <f t="shared" ca="1" si="622"/>
        <v>0</v>
      </c>
      <c r="AN286" s="281">
        <f t="shared" ca="1" si="622"/>
        <v>0</v>
      </c>
      <c r="AO286" s="6"/>
    </row>
    <row r="287" spans="1:42" ht="15" customHeight="1" outlineLevel="1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40"/>
      <c r="Y287" s="40"/>
      <c r="Z287" s="40"/>
      <c r="AA287" s="51"/>
      <c r="AB287" s="51"/>
      <c r="AC287" s="145"/>
      <c r="AD287" s="145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6"/>
    </row>
    <row r="288" spans="1:42" ht="15" customHeight="1" outlineLevel="1">
      <c r="E288" s="3" t="s">
        <v>224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40"/>
      <c r="Y288" s="40"/>
      <c r="Z288" s="145">
        <f>Y292</f>
        <v>875</v>
      </c>
      <c r="AA288" s="145">
        <f t="shared" ref="AA288:AN288" si="623">Z292</f>
        <v>1084</v>
      </c>
      <c r="AB288" s="145">
        <f t="shared" si="623"/>
        <v>895</v>
      </c>
      <c r="AC288" s="145">
        <f t="shared" si="623"/>
        <v>648</v>
      </c>
      <c r="AD288" s="145">
        <f t="shared" si="623"/>
        <v>615</v>
      </c>
      <c r="AE288" s="145">
        <f t="shared" si="623"/>
        <v>579.3949358763565</v>
      </c>
      <c r="AF288" s="145">
        <f t="shared" si="623"/>
        <v>548.58792602990229</v>
      </c>
      <c r="AG288" s="145">
        <f t="shared" si="623"/>
        <v>520.98645387006036</v>
      </c>
      <c r="AH288" s="145">
        <f t="shared" si="623"/>
        <v>495.48052083694859</v>
      </c>
      <c r="AI288" s="145">
        <f t="shared" si="623"/>
        <v>471.31166383693102</v>
      </c>
      <c r="AJ288" s="145">
        <f t="shared" si="623"/>
        <v>447.97300678180613</v>
      </c>
      <c r="AK288" s="145">
        <f t="shared" si="623"/>
        <v>425.13417121357202</v>
      </c>
      <c r="AL288" s="145">
        <f t="shared" si="623"/>
        <v>402.58584074230191</v>
      </c>
      <c r="AM288" s="145">
        <f t="shared" si="623"/>
        <v>380.19963663382305</v>
      </c>
      <c r="AN288" s="145">
        <f t="shared" si="623"/>
        <v>357.89972362082227</v>
      </c>
      <c r="AO288" s="6"/>
    </row>
    <row r="289" spans="1:45" ht="15" customHeight="1" outlineLevel="1">
      <c r="B289" s="262" t="s">
        <v>243</v>
      </c>
      <c r="E289" s="45" t="s">
        <v>89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40"/>
      <c r="Y289" s="40"/>
      <c r="Z289" s="132">
        <v>0</v>
      </c>
      <c r="AA289" s="132">
        <v>0</v>
      </c>
      <c r="AB289" s="132">
        <v>0</v>
      </c>
      <c r="AC289" s="132">
        <v>0</v>
      </c>
      <c r="AD289" s="132">
        <v>200</v>
      </c>
      <c r="AE289" s="6">
        <f>+AD289</f>
        <v>200</v>
      </c>
      <c r="AF289" s="6">
        <f t="shared" ref="AF289:AN289" si="624">+AE289</f>
        <v>200</v>
      </c>
      <c r="AG289" s="6">
        <f t="shared" si="624"/>
        <v>200</v>
      </c>
      <c r="AH289" s="6">
        <f t="shared" si="624"/>
        <v>200</v>
      </c>
      <c r="AI289" s="6">
        <f t="shared" si="624"/>
        <v>200</v>
      </c>
      <c r="AJ289" s="6">
        <f t="shared" si="624"/>
        <v>200</v>
      </c>
      <c r="AK289" s="6">
        <f t="shared" si="624"/>
        <v>200</v>
      </c>
      <c r="AL289" s="6">
        <f t="shared" si="624"/>
        <v>200</v>
      </c>
      <c r="AM289" s="6">
        <f t="shared" si="624"/>
        <v>200</v>
      </c>
      <c r="AN289" s="6">
        <f t="shared" si="624"/>
        <v>200</v>
      </c>
      <c r="AO289" s="6"/>
    </row>
    <row r="290" spans="1:45" ht="15" customHeight="1" outlineLevel="1">
      <c r="E290" s="45" t="s">
        <v>4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40"/>
      <c r="Y290" s="40"/>
      <c r="Z290" s="6">
        <f>-Z299</f>
        <v>-213</v>
      </c>
      <c r="AA290" s="6">
        <f>-AA299</f>
        <v>-290</v>
      </c>
      <c r="AB290" s="6">
        <f>-AB299</f>
        <v>-250</v>
      </c>
      <c r="AC290" s="6">
        <f>-AC299</f>
        <v>-233</v>
      </c>
      <c r="AD290" s="140">
        <f>-AD288/AD293</f>
        <v>-235.60506412364353</v>
      </c>
      <c r="AE290" s="132">
        <f t="shared" ref="AE290:AL290" si="625">-AE288/AE293</f>
        <v>-230.80700984645421</v>
      </c>
      <c r="AF290" s="132">
        <f t="shared" si="625"/>
        <v>-227.60147215984196</v>
      </c>
      <c r="AG290" s="132">
        <f t="shared" si="625"/>
        <v>-225.5059330331118</v>
      </c>
      <c r="AH290" s="132">
        <f t="shared" si="625"/>
        <v>-224.16885700001757</v>
      </c>
      <c r="AI290" s="132">
        <f t="shared" si="625"/>
        <v>-223.33865705512497</v>
      </c>
      <c r="AJ290" s="132">
        <f t="shared" si="625"/>
        <v>-222.83883556823412</v>
      </c>
      <c r="AK290" s="132">
        <f t="shared" si="625"/>
        <v>-222.54833047127008</v>
      </c>
      <c r="AL290" s="132">
        <f t="shared" si="625"/>
        <v>-222.38620410847886</v>
      </c>
      <c r="AM290" s="132">
        <f t="shared" ref="AM290:AN290" si="626">-AM288/AM293</f>
        <v>-222.29991301300078</v>
      </c>
      <c r="AN290" s="132">
        <f t="shared" si="626"/>
        <v>-222.25649148094786</v>
      </c>
      <c r="AO290" s="6"/>
    </row>
    <row r="291" spans="1:45" ht="15" customHeight="1" outlineLevel="1">
      <c r="E291" s="45" t="s">
        <v>86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40"/>
      <c r="Y291" s="40"/>
      <c r="Z291" s="6">
        <f>Z292-SUM(Z288:Z290)</f>
        <v>422</v>
      </c>
      <c r="AA291" s="6">
        <f>AA292-SUM(AA288:AA290)</f>
        <v>101</v>
      </c>
      <c r="AB291" s="6">
        <f>AB292-SUM(AB288:AB290)</f>
        <v>3</v>
      </c>
      <c r="AC291" s="6">
        <f>AC292-SUM(AC288:AC290)</f>
        <v>200</v>
      </c>
      <c r="AD291" s="132">
        <v>0</v>
      </c>
      <c r="AE291" s="132">
        <f>+AD291</f>
        <v>0</v>
      </c>
      <c r="AF291" s="132">
        <f t="shared" ref="AF291:AN291" si="627">+AE291</f>
        <v>0</v>
      </c>
      <c r="AG291" s="132">
        <f t="shared" si="627"/>
        <v>0</v>
      </c>
      <c r="AH291" s="132">
        <f t="shared" si="627"/>
        <v>0</v>
      </c>
      <c r="AI291" s="132">
        <f t="shared" si="627"/>
        <v>0</v>
      </c>
      <c r="AJ291" s="132">
        <f t="shared" si="627"/>
        <v>0</v>
      </c>
      <c r="AK291" s="132">
        <f t="shared" si="627"/>
        <v>0</v>
      </c>
      <c r="AL291" s="132">
        <f t="shared" si="627"/>
        <v>0</v>
      </c>
      <c r="AM291" s="132">
        <f t="shared" si="627"/>
        <v>0</v>
      </c>
      <c r="AN291" s="132">
        <f t="shared" si="627"/>
        <v>0</v>
      </c>
      <c r="AO291" s="6"/>
    </row>
    <row r="292" spans="1:45" s="3" customFormat="1" outlineLevel="1">
      <c r="A292" s="263"/>
      <c r="B292" s="263"/>
      <c r="C292" s="96"/>
      <c r="E292" s="103" t="s">
        <v>225</v>
      </c>
      <c r="F292" s="2"/>
      <c r="G292" s="2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>
        <f>Y182</f>
        <v>875</v>
      </c>
      <c r="Z292" s="70">
        <f>Z182</f>
        <v>1084</v>
      </c>
      <c r="AA292" s="70">
        <f>AA182</f>
        <v>895</v>
      </c>
      <c r="AB292" s="70">
        <f>AB182</f>
        <v>648</v>
      </c>
      <c r="AC292" s="70">
        <f>AC182</f>
        <v>615</v>
      </c>
      <c r="AD292" s="71">
        <f t="shared" ref="AD292:AI292" si="628">SUM(AD288:AD291)</f>
        <v>579.3949358763565</v>
      </c>
      <c r="AE292" s="71">
        <f t="shared" si="628"/>
        <v>548.58792602990229</v>
      </c>
      <c r="AF292" s="71">
        <f t="shared" si="628"/>
        <v>520.98645387006036</v>
      </c>
      <c r="AG292" s="71">
        <f t="shared" si="628"/>
        <v>495.48052083694859</v>
      </c>
      <c r="AH292" s="71">
        <f t="shared" si="628"/>
        <v>471.31166383693102</v>
      </c>
      <c r="AI292" s="71">
        <f t="shared" si="628"/>
        <v>447.97300678180613</v>
      </c>
      <c r="AJ292" s="71">
        <f t="shared" ref="AJ292:AN292" si="629">SUM(AJ288:AJ291)</f>
        <v>425.13417121357202</v>
      </c>
      <c r="AK292" s="71">
        <f t="shared" si="629"/>
        <v>402.58584074230191</v>
      </c>
      <c r="AL292" s="71">
        <f t="shared" si="629"/>
        <v>380.19963663382305</v>
      </c>
      <c r="AM292" s="71">
        <f t="shared" si="629"/>
        <v>357.89972362082227</v>
      </c>
      <c r="AN292" s="71">
        <f t="shared" si="629"/>
        <v>335.64323213987439</v>
      </c>
      <c r="AO292"/>
    </row>
    <row r="293" spans="1:45" ht="15" customHeight="1" outlineLevel="1">
      <c r="E293" s="45" t="s">
        <v>177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40"/>
      <c r="Y293" s="63"/>
      <c r="Z293" s="63">
        <f>-AVERAGE(Y292:Z292)/(Z290)</f>
        <v>4.598591549295775</v>
      </c>
      <c r="AA293" s="63">
        <f>-AVERAGE(Z292:AA292)/(AA290)</f>
        <v>3.4120689655172414</v>
      </c>
      <c r="AB293" s="63">
        <f>-AVERAGE(AA292:AB292)/(AB290)</f>
        <v>3.0859999999999999</v>
      </c>
      <c r="AC293" s="63">
        <f>-AVERAGE(AB292:AC292)/(AC290)</f>
        <v>2.7103004291845494</v>
      </c>
      <c r="AD293" s="282">
        <f>AC293-0.1</f>
        <v>2.6103004291845493</v>
      </c>
      <c r="AE293" s="282">
        <f>AD293-0.1</f>
        <v>2.5103004291845492</v>
      </c>
      <c r="AF293" s="282">
        <f>AE293-0.1</f>
        <v>2.4103004291845491</v>
      </c>
      <c r="AG293" s="282">
        <f t="shared" ref="AG293:AN293" si="630">AF293-0.1</f>
        <v>2.310300429184549</v>
      </c>
      <c r="AH293" s="282">
        <f t="shared" si="630"/>
        <v>2.2103004291845489</v>
      </c>
      <c r="AI293" s="282">
        <f t="shared" si="630"/>
        <v>2.1103004291845489</v>
      </c>
      <c r="AJ293" s="282">
        <f t="shared" si="630"/>
        <v>2.0103004291845488</v>
      </c>
      <c r="AK293" s="282">
        <f t="shared" si="630"/>
        <v>1.9103004291845487</v>
      </c>
      <c r="AL293" s="282">
        <f t="shared" si="630"/>
        <v>1.8103004291845486</v>
      </c>
      <c r="AM293" s="282">
        <f t="shared" si="630"/>
        <v>1.7103004291845485</v>
      </c>
      <c r="AN293" s="282">
        <f t="shared" si="630"/>
        <v>1.6103004291845484</v>
      </c>
      <c r="AO293" s="6"/>
      <c r="AP293" s="197"/>
      <c r="AQ293" s="197"/>
      <c r="AR293" s="197"/>
      <c r="AS293" s="40"/>
    </row>
    <row r="294" spans="1:45" ht="15" customHeight="1" outlineLevel="1">
      <c r="E294" s="45" t="s">
        <v>230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40"/>
      <c r="Y294" s="60"/>
      <c r="Z294" s="60">
        <f>-Z291/Z290</f>
        <v>1.9812206572769953</v>
      </c>
      <c r="AA294" s="60">
        <f>-AA291/AA290</f>
        <v>0.34827586206896549</v>
      </c>
      <c r="AB294" s="60">
        <f>-AB291/AB290</f>
        <v>1.2E-2</v>
      </c>
      <c r="AC294" s="60">
        <f>-AC291/AC290</f>
        <v>0.85836909871244638</v>
      </c>
      <c r="AD294" s="202">
        <f t="shared" ref="AD294:AN294" si="631">+AD289/AD290</f>
        <v>-0.84887818835269901</v>
      </c>
      <c r="AE294" s="202">
        <f t="shared" si="631"/>
        <v>-0.86652480846682789</v>
      </c>
      <c r="AF294" s="202">
        <f t="shared" si="631"/>
        <v>-0.87872893835916066</v>
      </c>
      <c r="AG294" s="202">
        <f t="shared" si="631"/>
        <v>-0.8868946253872324</v>
      </c>
      <c r="AH294" s="202">
        <f t="shared" si="631"/>
        <v>-0.89218459101116054</v>
      </c>
      <c r="AI294" s="202">
        <f t="shared" si="631"/>
        <v>-0.89550104149966092</v>
      </c>
      <c r="AJ294" s="202">
        <f t="shared" si="631"/>
        <v>-0.89750962613856966</v>
      </c>
      <c r="AK294" s="202">
        <f t="shared" si="631"/>
        <v>-0.89868119691789394</v>
      </c>
      <c r="AL294" s="202">
        <f t="shared" si="631"/>
        <v>-0.89933636307062026</v>
      </c>
      <c r="AM294" s="202">
        <f t="shared" si="631"/>
        <v>-0.89968546226243185</v>
      </c>
      <c r="AN294" s="202">
        <f t="shared" si="631"/>
        <v>-0.89986123090197478</v>
      </c>
      <c r="AO294" s="6"/>
    </row>
    <row r="295" spans="1:45" ht="15" customHeight="1" outlineLevel="1">
      <c r="E295" s="45" t="s">
        <v>245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40"/>
      <c r="Y295" s="63">
        <f t="shared" ref="Y295:AN295" si="632">Y104/AVERAGE(X292:Y292)</f>
        <v>7.5897142857142859</v>
      </c>
      <c r="Z295" s="63">
        <f t="shared" si="632"/>
        <v>8.2154160285860129</v>
      </c>
      <c r="AA295" s="63">
        <f t="shared" si="632"/>
        <v>9.4502273875694787</v>
      </c>
      <c r="AB295" s="63">
        <f t="shared" si="632"/>
        <v>11.056383668178873</v>
      </c>
      <c r="AC295" s="63">
        <f t="shared" si="632"/>
        <v>15.385589865399842</v>
      </c>
      <c r="AD295" s="63">
        <f t="shared" si="632"/>
        <v>19.022192786828633</v>
      </c>
      <c r="AE295" s="63">
        <f t="shared" ca="1" si="632"/>
        <v>22.034502694602416</v>
      </c>
      <c r="AF295" s="63">
        <f t="shared" ca="1" si="632"/>
        <v>24.608819211738862</v>
      </c>
      <c r="AG295" s="63">
        <f t="shared" ca="1" si="632"/>
        <v>27.32498636177553</v>
      </c>
      <c r="AH295" s="63">
        <f t="shared" ca="1" si="632"/>
        <v>30.46952795947675</v>
      </c>
      <c r="AI295" s="63">
        <f t="shared" ca="1" si="632"/>
        <v>33.892038694692332</v>
      </c>
      <c r="AJ295" s="63">
        <f t="shared" ca="1" si="632"/>
        <v>37.958941344907451</v>
      </c>
      <c r="AK295" s="63">
        <f t="shared" ca="1" si="632"/>
        <v>42.499466776544807</v>
      </c>
      <c r="AL295" s="63">
        <f t="shared" ca="1" si="632"/>
        <v>47.21332952102054</v>
      </c>
      <c r="AM295" s="63">
        <f t="shared" ca="1" si="632"/>
        <v>52.509762046040052</v>
      </c>
      <c r="AN295" s="63">
        <f t="shared" ca="1" si="632"/>
        <v>58.506931484723744</v>
      </c>
      <c r="AO295" s="6"/>
    </row>
    <row r="296" spans="1:45" ht="15" customHeight="1" outlineLevel="1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40"/>
      <c r="Y296" s="40"/>
      <c r="Z296" s="40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6"/>
    </row>
    <row r="297" spans="1:45" ht="15" customHeight="1" outlineLevel="1">
      <c r="B297" s="262" t="s">
        <v>217</v>
      </c>
      <c r="E297" s="97" t="s">
        <v>217</v>
      </c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89">
        <f t="shared" ref="Y297:AN297" si="633">+Y86+Y87</f>
        <v>1210</v>
      </c>
      <c r="Z297" s="189">
        <f t="shared" si="633"/>
        <v>1458</v>
      </c>
      <c r="AA297" s="189">
        <f t="shared" si="633"/>
        <v>1748</v>
      </c>
      <c r="AB297" s="189">
        <f t="shared" si="633"/>
        <v>1738</v>
      </c>
      <c r="AC297" s="189">
        <f t="shared" si="633"/>
        <v>1750</v>
      </c>
      <c r="AD297" s="6">
        <f t="shared" si="633"/>
        <v>1926.2068965517244</v>
      </c>
      <c r="AE297" s="6">
        <f t="shared" si="633"/>
        <v>2374.4818425330045</v>
      </c>
      <c r="AF297" s="6">
        <f t="shared" ca="1" si="633"/>
        <v>2478.0956102851546</v>
      </c>
      <c r="AG297" s="6">
        <f t="shared" ca="1" si="633"/>
        <v>2598.5999392918029</v>
      </c>
      <c r="AH297" s="6">
        <f t="shared" ca="1" si="633"/>
        <v>2732.6902381226523</v>
      </c>
      <c r="AI297" s="6">
        <f t="shared" ca="1" si="633"/>
        <v>2883.7635849264548</v>
      </c>
      <c r="AJ297" s="6">
        <f t="shared" ca="1" si="633"/>
        <v>3049.2173605476573</v>
      </c>
      <c r="AK297" s="6">
        <f t="shared" ca="1" si="633"/>
        <v>3233.789287376067</v>
      </c>
      <c r="AL297" s="6">
        <f t="shared" ca="1" si="633"/>
        <v>3435.3599087804478</v>
      </c>
      <c r="AM297" s="6">
        <f t="shared" ca="1" si="633"/>
        <v>3644.4205320203082</v>
      </c>
      <c r="AN297" s="6">
        <f t="shared" ca="1" si="633"/>
        <v>3860.0787684777488</v>
      </c>
      <c r="AO297" s="6"/>
    </row>
    <row r="298" spans="1:45" ht="15" customHeight="1" outlineLevel="1">
      <c r="B298" s="262" t="s">
        <v>218</v>
      </c>
      <c r="E298" s="97" t="s">
        <v>345</v>
      </c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90"/>
      <c r="AB298" s="190"/>
      <c r="AC298" s="190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5" ht="15" customHeight="1" outlineLevel="1">
      <c r="B299" s="262" t="s">
        <v>219</v>
      </c>
      <c r="E299" s="97" t="s">
        <v>219</v>
      </c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89">
        <f>Y88</f>
        <v>173</v>
      </c>
      <c r="Z299" s="189">
        <f>Z88</f>
        <v>213</v>
      </c>
      <c r="AA299" s="189">
        <f>AA88</f>
        <v>290</v>
      </c>
      <c r="AB299" s="189">
        <f>AB88</f>
        <v>250</v>
      </c>
      <c r="AC299" s="189">
        <f>AC88</f>
        <v>233</v>
      </c>
      <c r="AD299" s="6">
        <f t="shared" ref="AD299:AN299" si="634">-AD290</f>
        <v>235.60506412364353</v>
      </c>
      <c r="AE299" s="6">
        <f t="shared" si="634"/>
        <v>230.80700984645421</v>
      </c>
      <c r="AF299" s="6">
        <f t="shared" si="634"/>
        <v>227.60147215984196</v>
      </c>
      <c r="AG299" s="6">
        <f t="shared" si="634"/>
        <v>225.5059330331118</v>
      </c>
      <c r="AH299" s="6">
        <f t="shared" si="634"/>
        <v>224.16885700001757</v>
      </c>
      <c r="AI299" s="6">
        <f t="shared" si="634"/>
        <v>223.33865705512497</v>
      </c>
      <c r="AJ299" s="6">
        <f t="shared" si="634"/>
        <v>222.83883556823412</v>
      </c>
      <c r="AK299" s="6">
        <f t="shared" si="634"/>
        <v>222.54833047127008</v>
      </c>
      <c r="AL299" s="6">
        <f t="shared" si="634"/>
        <v>222.38620410847886</v>
      </c>
      <c r="AM299" s="6">
        <f t="shared" si="634"/>
        <v>222.29991301300078</v>
      </c>
      <c r="AN299" s="6">
        <f t="shared" si="634"/>
        <v>222.25649148094786</v>
      </c>
      <c r="AO299" s="6"/>
    </row>
    <row r="300" spans="1:45" ht="15" customHeight="1" outlineLevel="1">
      <c r="B300" s="262" t="s">
        <v>220</v>
      </c>
      <c r="E300" s="97" t="s">
        <v>220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>
        <f>Y301-SUM(Y297:Y299)</f>
        <v>0</v>
      </c>
      <c r="Z300" s="49">
        <f>Z301-SUM(Z297:Z299)</f>
        <v>0</v>
      </c>
      <c r="AA300" s="49">
        <f>AA301-SUM(AA297:AA299)</f>
        <v>0</v>
      </c>
      <c r="AB300" s="49">
        <f>AB301-SUM(AB297:AB299)</f>
        <v>0</v>
      </c>
      <c r="AC300" s="49">
        <f>AC301-SUM(AC297:AC299)</f>
        <v>0</v>
      </c>
      <c r="AD300" s="273">
        <v>0</v>
      </c>
      <c r="AE300" s="273">
        <v>0</v>
      </c>
      <c r="AF300" s="273">
        <v>0</v>
      </c>
      <c r="AG300" s="273">
        <f>AF300</f>
        <v>0</v>
      </c>
      <c r="AH300" s="273">
        <f t="shared" ref="AH300:AN300" si="635">AG300</f>
        <v>0</v>
      </c>
      <c r="AI300" s="273">
        <f t="shared" si="635"/>
        <v>0</v>
      </c>
      <c r="AJ300" s="273">
        <f t="shared" si="635"/>
        <v>0</v>
      </c>
      <c r="AK300" s="273">
        <f t="shared" si="635"/>
        <v>0</v>
      </c>
      <c r="AL300" s="273">
        <f t="shared" si="635"/>
        <v>0</v>
      </c>
      <c r="AM300" s="273">
        <f t="shared" si="635"/>
        <v>0</v>
      </c>
      <c r="AN300" s="273">
        <f t="shared" si="635"/>
        <v>0</v>
      </c>
      <c r="AO300" s="6"/>
    </row>
    <row r="301" spans="1:45" s="3" customFormat="1" outlineLevel="1">
      <c r="A301" s="263"/>
      <c r="B301" s="263"/>
      <c r="C301" s="96"/>
      <c r="E301" s="103" t="s">
        <v>221</v>
      </c>
      <c r="F301" s="2"/>
      <c r="G301" s="2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>
        <f>Y15+Y12</f>
        <v>1383</v>
      </c>
      <c r="Z301" s="70">
        <f>Z15+Z12</f>
        <v>1671</v>
      </c>
      <c r="AA301" s="70">
        <f>AA15+AA12</f>
        <v>2038</v>
      </c>
      <c r="AB301" s="70">
        <f>AB15+AB12</f>
        <v>1988</v>
      </c>
      <c r="AC301" s="70">
        <f>AC15+AC12</f>
        <v>1983</v>
      </c>
      <c r="AD301" s="70">
        <f>SUM(AD297:AD300)</f>
        <v>2161.811960675368</v>
      </c>
      <c r="AE301" s="70">
        <f>SUM(AE297:AE300)</f>
        <v>2605.2888523794586</v>
      </c>
      <c r="AF301" s="70">
        <f ca="1">SUM(AF297:AF300)</f>
        <v>2705.6970824449968</v>
      </c>
      <c r="AG301" s="70">
        <f t="shared" ref="AG301:AN301" ca="1" si="636">SUM(AG297:AG300)</f>
        <v>2824.1058723249148</v>
      </c>
      <c r="AH301" s="70">
        <f t="shared" ca="1" si="636"/>
        <v>2956.8590951226697</v>
      </c>
      <c r="AI301" s="70">
        <f t="shared" ca="1" si="636"/>
        <v>3107.1022419815799</v>
      </c>
      <c r="AJ301" s="70">
        <f t="shared" ca="1" si="636"/>
        <v>3272.0561961158915</v>
      </c>
      <c r="AK301" s="70">
        <f t="shared" ca="1" si="636"/>
        <v>3456.3376178473372</v>
      </c>
      <c r="AL301" s="70">
        <f t="shared" ca="1" si="636"/>
        <v>3657.7461128889267</v>
      </c>
      <c r="AM301" s="70">
        <f t="shared" ca="1" si="636"/>
        <v>3866.7204450333088</v>
      </c>
      <c r="AN301" s="70">
        <f t="shared" ca="1" si="636"/>
        <v>4082.3352599586965</v>
      </c>
      <c r="AO301"/>
    </row>
    <row r="302" spans="1:45" s="38" customFormat="1" ht="15" customHeight="1" outlineLevel="1">
      <c r="A302" s="267"/>
      <c r="B302" s="267"/>
      <c r="C302" s="95"/>
      <c r="E302" s="133" t="str">
        <f>"% - "&amp;E297</f>
        <v>% - PP&amp;E D&amp;A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134"/>
      <c r="Y302" s="134">
        <f t="shared" ref="Y302:AB305" si="637">IFERROR(Y297/Y$301,"na")</f>
        <v>0.87490961677512658</v>
      </c>
      <c r="Z302" s="134">
        <f t="shared" si="637"/>
        <v>0.87253141831238779</v>
      </c>
      <c r="AA302" s="134">
        <f t="shared" si="637"/>
        <v>0.85770363101079494</v>
      </c>
      <c r="AB302" s="134">
        <f t="shared" si="637"/>
        <v>0.87424547283702214</v>
      </c>
      <c r="AC302" s="134">
        <f t="shared" ref="AC302" si="638">IFERROR(AC297/AC$301,"na")</f>
        <v>0.8825012607160867</v>
      </c>
      <c r="AD302" s="134">
        <f t="shared" ref="AD302:AE305" si="639">IFERROR(AD297/AD$301,"na")</f>
        <v>0.89101500574081449</v>
      </c>
      <c r="AE302" s="134">
        <f t="shared" si="639"/>
        <v>0.91140828410037766</v>
      </c>
      <c r="AF302" s="134">
        <f t="shared" ref="AF302:AN302" ca="1" si="640">IFERROR(AF297/AF$301,"na")</f>
        <v>0.9158806528504031</v>
      </c>
      <c r="AG302" s="134">
        <f t="shared" ca="1" si="640"/>
        <v>0.92014961788685823</v>
      </c>
      <c r="AH302" s="134">
        <f t="shared" ca="1" si="640"/>
        <v>0.92418683143549751</v>
      </c>
      <c r="AI302" s="134">
        <f t="shared" ca="1" si="640"/>
        <v>0.92811995239889855</v>
      </c>
      <c r="AJ302" s="134">
        <f t="shared" ca="1" si="640"/>
        <v>0.93189639107275846</v>
      </c>
      <c r="AK302" s="134">
        <f t="shared" ca="1" si="640"/>
        <v>0.93561151858484326</v>
      </c>
      <c r="AL302" s="134">
        <f t="shared" ca="1" si="640"/>
        <v>0.93920130122622536</v>
      </c>
      <c r="AM302" s="134">
        <f t="shared" ca="1" si="640"/>
        <v>0.94250944277636139</v>
      </c>
      <c r="AN302" s="134">
        <f t="shared" ca="1" si="640"/>
        <v>0.94555653141452267</v>
      </c>
      <c r="AO302" s="131"/>
    </row>
    <row r="303" spans="1:45" s="38" customFormat="1" ht="15" customHeight="1" outlineLevel="1">
      <c r="A303" s="267"/>
      <c r="B303" s="267"/>
      <c r="C303" s="95"/>
      <c r="E303" s="133" t="str">
        <f>"% - "&amp;E298</f>
        <v xml:space="preserve">% - ROU D&amp;A 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134"/>
      <c r="Y303" s="134">
        <f t="shared" si="637"/>
        <v>0</v>
      </c>
      <c r="Z303" s="134">
        <f t="shared" si="637"/>
        <v>0</v>
      </c>
      <c r="AA303" s="134">
        <f t="shared" si="637"/>
        <v>0</v>
      </c>
      <c r="AB303" s="134">
        <f t="shared" si="637"/>
        <v>0</v>
      </c>
      <c r="AC303" s="134">
        <f t="shared" ref="AC303" si="641">IFERROR(AC298/AC$301,"na")</f>
        <v>0</v>
      </c>
      <c r="AD303" s="134">
        <f t="shared" si="639"/>
        <v>0</v>
      </c>
      <c r="AE303" s="134">
        <f t="shared" si="639"/>
        <v>0</v>
      </c>
      <c r="AF303" s="134">
        <f t="shared" ref="AF303:AN303" ca="1" si="642">IFERROR(AF298/AF$301,"na")</f>
        <v>0</v>
      </c>
      <c r="AG303" s="134">
        <f t="shared" ca="1" si="642"/>
        <v>0</v>
      </c>
      <c r="AH303" s="134">
        <f t="shared" ca="1" si="642"/>
        <v>0</v>
      </c>
      <c r="AI303" s="134">
        <f t="shared" ca="1" si="642"/>
        <v>0</v>
      </c>
      <c r="AJ303" s="134">
        <f t="shared" ca="1" si="642"/>
        <v>0</v>
      </c>
      <c r="AK303" s="134">
        <f t="shared" ca="1" si="642"/>
        <v>0</v>
      </c>
      <c r="AL303" s="134">
        <f t="shared" ca="1" si="642"/>
        <v>0</v>
      </c>
      <c r="AM303" s="134">
        <f t="shared" ca="1" si="642"/>
        <v>0</v>
      </c>
      <c r="AN303" s="134">
        <f t="shared" ca="1" si="642"/>
        <v>0</v>
      </c>
      <c r="AO303" s="131"/>
    </row>
    <row r="304" spans="1:45" s="38" customFormat="1" ht="15" customHeight="1" outlineLevel="1">
      <c r="A304" s="267"/>
      <c r="B304" s="267"/>
      <c r="C304" s="95"/>
      <c r="E304" s="133" t="str">
        <f>"% - "&amp;E299</f>
        <v>% - Intangible D&amp;A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134"/>
      <c r="Y304" s="134">
        <f t="shared" si="637"/>
        <v>0.12509038322487345</v>
      </c>
      <c r="Z304" s="134">
        <f t="shared" si="637"/>
        <v>0.12746858168761221</v>
      </c>
      <c r="AA304" s="134">
        <f t="shared" si="637"/>
        <v>0.14229636898920511</v>
      </c>
      <c r="AB304" s="134">
        <f t="shared" si="637"/>
        <v>0.12575452716297786</v>
      </c>
      <c r="AC304" s="134">
        <f t="shared" ref="AC304" si="643">IFERROR(AC299/AC$301,"na")</f>
        <v>0.11749873928391326</v>
      </c>
      <c r="AD304" s="134">
        <f t="shared" si="639"/>
        <v>0.10898499425918549</v>
      </c>
      <c r="AE304" s="134">
        <f t="shared" si="639"/>
        <v>8.8591715899622378E-2</v>
      </c>
      <c r="AF304" s="134">
        <f t="shared" ref="AF304:AN304" ca="1" si="644">IFERROR(AF299/AF$301,"na")</f>
        <v>8.4119347149596818E-2</v>
      </c>
      <c r="AG304" s="134">
        <f t="shared" ca="1" si="644"/>
        <v>7.9850382113141702E-2</v>
      </c>
      <c r="AH304" s="134">
        <f t="shared" ca="1" si="644"/>
        <v>7.5813168564502598E-2</v>
      </c>
      <c r="AI304" s="134">
        <f t="shared" ca="1" si="644"/>
        <v>7.1880047601101435E-2</v>
      </c>
      <c r="AJ304" s="134">
        <f t="shared" ca="1" si="644"/>
        <v>6.8103608927241502E-2</v>
      </c>
      <c r="AK304" s="134">
        <f t="shared" ca="1" si="644"/>
        <v>6.4388481415156643E-2</v>
      </c>
      <c r="AL304" s="134">
        <f t="shared" ca="1" si="644"/>
        <v>6.0798698773774619E-2</v>
      </c>
      <c r="AM304" s="134">
        <f t="shared" ca="1" si="644"/>
        <v>5.7490557223638605E-2</v>
      </c>
      <c r="AN304" s="134">
        <f t="shared" ca="1" si="644"/>
        <v>5.4443468585477363E-2</v>
      </c>
      <c r="AO304" s="131"/>
    </row>
    <row r="305" spans="1:46" s="38" customFormat="1" ht="15" customHeight="1" outlineLevel="1">
      <c r="A305" s="267"/>
      <c r="B305" s="267"/>
      <c r="C305" s="95"/>
      <c r="E305" s="133" t="str">
        <f>"% - "&amp;E300</f>
        <v>% - Other D&amp;A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134"/>
      <c r="Y305" s="134">
        <f t="shared" si="637"/>
        <v>0</v>
      </c>
      <c r="Z305" s="134">
        <f t="shared" si="637"/>
        <v>0</v>
      </c>
      <c r="AA305" s="134">
        <f t="shared" si="637"/>
        <v>0</v>
      </c>
      <c r="AB305" s="134">
        <f t="shared" si="637"/>
        <v>0</v>
      </c>
      <c r="AC305" s="134">
        <f t="shared" ref="AC305" si="645">IFERROR(AC300/AC$301,"na")</f>
        <v>0</v>
      </c>
      <c r="AD305" s="134">
        <f t="shared" si="639"/>
        <v>0</v>
      </c>
      <c r="AE305" s="134">
        <f t="shared" si="639"/>
        <v>0</v>
      </c>
      <c r="AF305" s="134">
        <f t="shared" ref="AF305:AN305" ca="1" si="646">IFERROR(AF300/AF$301,"na")</f>
        <v>0</v>
      </c>
      <c r="AG305" s="134">
        <f t="shared" ca="1" si="646"/>
        <v>0</v>
      </c>
      <c r="AH305" s="134">
        <f t="shared" ca="1" si="646"/>
        <v>0</v>
      </c>
      <c r="AI305" s="134">
        <f t="shared" ca="1" si="646"/>
        <v>0</v>
      </c>
      <c r="AJ305" s="134">
        <f t="shared" ca="1" si="646"/>
        <v>0</v>
      </c>
      <c r="AK305" s="134">
        <f t="shared" ca="1" si="646"/>
        <v>0</v>
      </c>
      <c r="AL305" s="134">
        <f t="shared" ca="1" si="646"/>
        <v>0</v>
      </c>
      <c r="AM305" s="134">
        <f t="shared" ca="1" si="646"/>
        <v>0</v>
      </c>
      <c r="AN305" s="134">
        <f t="shared" ca="1" si="646"/>
        <v>0</v>
      </c>
      <c r="AO305" s="131"/>
    </row>
    <row r="306" spans="1:46" ht="15" customHeight="1" outlineLevel="1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40"/>
      <c r="Y306" s="40"/>
      <c r="Z306" s="40"/>
      <c r="AA306" s="51"/>
      <c r="AB306" s="51"/>
      <c r="AC306" s="51"/>
      <c r="AD306" s="225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6"/>
    </row>
    <row r="307" spans="1:46">
      <c r="E307" s="21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C307" s="6"/>
      <c r="AQ307" s="1"/>
    </row>
    <row r="308" spans="1:46">
      <c r="C308" s="94" t="s">
        <v>122</v>
      </c>
      <c r="D308" s="249" t="s">
        <v>122</v>
      </c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</row>
    <row r="309" spans="1:46">
      <c r="D309" s="258"/>
      <c r="E309" s="259" t="s">
        <v>148</v>
      </c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  <c r="AA309" s="258"/>
      <c r="AB309" s="260"/>
      <c r="AC309" s="258"/>
      <c r="AD309" s="258"/>
      <c r="AE309" s="258"/>
      <c r="AF309" s="258"/>
      <c r="AG309" s="258"/>
      <c r="AH309" s="258"/>
      <c r="AI309" s="258"/>
      <c r="AJ309" s="258"/>
      <c r="AK309" s="258"/>
      <c r="AL309" s="258"/>
      <c r="AM309" s="258"/>
      <c r="AN309" s="258"/>
    </row>
    <row r="310" spans="1:46" ht="5.0999999999999996" customHeight="1">
      <c r="C310" s="95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6"/>
      <c r="AP310" s="1"/>
    </row>
    <row r="311" spans="1:46" outlineLevel="1">
      <c r="E311" s="21" t="s">
        <v>123</v>
      </c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>
        <f t="shared" ref="S311" si="647">+SUM(S198:S202)</f>
        <v>103</v>
      </c>
      <c r="T311" s="62">
        <f t="shared" ref="T311" si="648">+SUM(T198:T202)</f>
        <v>1574</v>
      </c>
      <c r="U311" s="62">
        <f t="shared" ref="U311" si="649">+SUM(U198:U202)</f>
        <v>1848</v>
      </c>
      <c r="V311" s="62">
        <f t="shared" ref="V311" si="650">+SUM(V198:V202)</f>
        <v>1798</v>
      </c>
      <c r="W311" s="62">
        <f t="shared" ref="W311" si="651">+SUM(W198:W202)</f>
        <v>1476</v>
      </c>
      <c r="X311" s="62">
        <f t="shared" ref="X311" si="652">+SUM(X198:X202)</f>
        <v>1648</v>
      </c>
      <c r="Y311" s="62">
        <f t="shared" ref="Y311:AN311" si="653">+SUM(Y198:Y202)</f>
        <v>3106</v>
      </c>
      <c r="Z311" s="62">
        <f t="shared" si="653"/>
        <v>3403</v>
      </c>
      <c r="AA311" s="62">
        <f t="shared" si="653"/>
        <v>3830</v>
      </c>
      <c r="AB311" s="62">
        <f t="shared" si="653"/>
        <v>4545</v>
      </c>
      <c r="AC311" s="62">
        <f t="shared" si="653"/>
        <v>5991</v>
      </c>
      <c r="AD311" s="62">
        <f t="shared" ca="1" si="653"/>
        <v>6843.6255161764602</v>
      </c>
      <c r="AE311" s="62">
        <f t="shared" ca="1" si="653"/>
        <v>8020.0178986067776</v>
      </c>
      <c r="AF311" s="62">
        <f t="shared" ca="1" si="653"/>
        <v>9381.3011110384796</v>
      </c>
      <c r="AG311" s="62">
        <f t="shared" ca="1" si="653"/>
        <v>10947.512501380435</v>
      </c>
      <c r="AH311" s="62">
        <f t="shared" ca="1" si="653"/>
        <v>12249.666519861001</v>
      </c>
      <c r="AI311" s="62">
        <f t="shared" ca="1" si="653"/>
        <v>13293.71596224992</v>
      </c>
      <c r="AJ311" s="62">
        <f t="shared" ca="1" si="653"/>
        <v>14370.105605250403</v>
      </c>
      <c r="AK311" s="62">
        <f t="shared" ca="1" si="653"/>
        <v>15490.118020199725</v>
      </c>
      <c r="AL311" s="62">
        <f t="shared" ca="1" si="653"/>
        <v>16128.450977742099</v>
      </c>
      <c r="AM311" s="62">
        <f t="shared" ca="1" si="653"/>
        <v>16796.067169080747</v>
      </c>
      <c r="AN311" s="62">
        <f t="shared" ca="1" si="653"/>
        <v>17418.21289992864</v>
      </c>
      <c r="AP311" s="160">
        <f ca="1">+(AM311/AC311)^(0.1)-1</f>
        <v>0.10858967219617055</v>
      </c>
      <c r="AQ311" s="160">
        <f t="shared" ref="AQ311" si="654">+(AC311/S311)^(1/10)-1</f>
        <v>0.50129559211356511</v>
      </c>
    </row>
    <row r="312" spans="1:46" outlineLevel="1">
      <c r="E312" s="21" t="s">
        <v>124</v>
      </c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>
        <f t="shared" ref="S312" si="655">+S311/S131</f>
        <v>1.4042454566524423</v>
      </c>
      <c r="T312" s="152">
        <f t="shared" ref="T312" si="656">+T311/T131</f>
        <v>16.594973009446694</v>
      </c>
      <c r="U312" s="152">
        <f t="shared" ref="U312" si="657">+U311/U131</f>
        <v>17.38623213630505</v>
      </c>
      <c r="V312" s="152">
        <f t="shared" ref="V312" si="658">+V311/V131</f>
        <v>17.130988223636571</v>
      </c>
      <c r="W312" s="152">
        <f t="shared" ref="W312" si="659">+W311/W131</f>
        <v>15.314539474366821</v>
      </c>
      <c r="X312" s="152">
        <f t="shared" ref="X312" si="660">+X311/X131</f>
        <v>18.775277698661348</v>
      </c>
      <c r="Y312" s="152">
        <f t="shared" ref="Y312:AN312" si="661">+Y311/Y131</f>
        <v>36.301161730674835</v>
      </c>
      <c r="Z312" s="152">
        <f t="shared" si="661"/>
        <v>40.73985394469053</v>
      </c>
      <c r="AA312" s="152">
        <f t="shared" si="661"/>
        <v>49.285806202547938</v>
      </c>
      <c r="AB312" s="152">
        <f t="shared" si="661"/>
        <v>62.320887438467551</v>
      </c>
      <c r="AC312" s="152">
        <f t="shared" si="661"/>
        <v>82.274743535163495</v>
      </c>
      <c r="AD312" s="152">
        <f t="shared" ca="1" si="661"/>
        <v>98.34632487844938</v>
      </c>
      <c r="AE312" s="152">
        <f t="shared" ca="1" si="661"/>
        <v>119.57790658369932</v>
      </c>
      <c r="AF312" s="152">
        <f t="shared" ca="1" si="661"/>
        <v>144.69975157933862</v>
      </c>
      <c r="AG312" s="152">
        <f t="shared" ca="1" si="661"/>
        <v>174.20255522291561</v>
      </c>
      <c r="AH312" s="152">
        <f t="shared" ca="1" si="661"/>
        <v>203.5006231840826</v>
      </c>
      <c r="AI312" s="152">
        <f t="shared" ca="1" si="661"/>
        <v>229.75992286880737</v>
      </c>
      <c r="AJ312" s="152">
        <f t="shared" ca="1" si="661"/>
        <v>257.50684471056451</v>
      </c>
      <c r="AK312" s="152">
        <f t="shared" ca="1" si="661"/>
        <v>286.93900885504354</v>
      </c>
      <c r="AL312" s="152">
        <f t="shared" ca="1" si="661"/>
        <v>311.37438017787076</v>
      </c>
      <c r="AM312" s="152">
        <f t="shared" ca="1" si="661"/>
        <v>336.9973212382597</v>
      </c>
      <c r="AN312" s="152">
        <f t="shared" ca="1" si="661"/>
        <v>362.53836034352724</v>
      </c>
    </row>
    <row r="313" spans="1:46" outlineLevel="1">
      <c r="E313" s="21" t="s">
        <v>161</v>
      </c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>
        <f t="shared" ref="S313" si="662">(S311-S174)/S131</f>
        <v>0.91344121937586054</v>
      </c>
      <c r="T313" s="152">
        <f t="shared" ref="T313" si="663">(T311-T174)/T131</f>
        <v>15.477395411605938</v>
      </c>
      <c r="U313" s="152">
        <f t="shared" ref="U313" si="664">(U311-U174)/U131</f>
        <v>15.73980863854889</v>
      </c>
      <c r="V313" s="152">
        <f t="shared" ref="V313" si="665">(V311-V174)/V131</f>
        <v>15.625595487632912</v>
      </c>
      <c r="W313" s="152">
        <f t="shared" ref="W313" si="666">(W311-W174)/W131</f>
        <v>13.457288413451062</v>
      </c>
      <c r="X313" s="152">
        <f t="shared" ref="X313" si="667">(X311-X174)/X131</f>
        <v>15.220734833380803</v>
      </c>
      <c r="Y313" s="152">
        <f t="shared" ref="Y313:AN313" si="668">(Y311-Y174)/Y131</f>
        <v>32.187185900282834</v>
      </c>
      <c r="Z313" s="152">
        <f t="shared" si="668"/>
        <v>40.225068837543397</v>
      </c>
      <c r="AA313" s="152">
        <f t="shared" si="668"/>
        <v>48.616651653583844</v>
      </c>
      <c r="AB313" s="152">
        <f t="shared" si="668"/>
        <v>59.551070218980101</v>
      </c>
      <c r="AC313" s="152">
        <f t="shared" si="668"/>
        <v>80.297183350041891</v>
      </c>
      <c r="AD313" s="152">
        <f t="shared" ca="1" si="668"/>
        <v>92.237019799711362</v>
      </c>
      <c r="AE313" s="152">
        <f t="shared" ca="1" si="668"/>
        <v>72.271265850002294</v>
      </c>
      <c r="AF313" s="152">
        <f t="shared" ca="1" si="668"/>
        <v>67.99328860041831</v>
      </c>
      <c r="AG313" s="152">
        <f t="shared" ca="1" si="668"/>
        <v>65.032046940114753</v>
      </c>
      <c r="AH313" s="152">
        <f t="shared" ca="1" si="668"/>
        <v>63.863138918433549</v>
      </c>
      <c r="AI313" s="152">
        <f t="shared" ca="1" si="668"/>
        <v>64.758948915351141</v>
      </c>
      <c r="AJ313" s="152">
        <f t="shared" ca="1" si="668"/>
        <v>67.306054616380976</v>
      </c>
      <c r="AK313" s="152">
        <f t="shared" ca="1" si="668"/>
        <v>70.540055604809851</v>
      </c>
      <c r="AL313" s="152">
        <f t="shared" ca="1" si="668"/>
        <v>76.422163001057172</v>
      </c>
      <c r="AM313" s="152">
        <f t="shared" ca="1" si="668"/>
        <v>82.830787302615704</v>
      </c>
      <c r="AN313" s="152">
        <f t="shared" ca="1" si="668"/>
        <v>94.749959389977434</v>
      </c>
    </row>
    <row r="314" spans="1:46" outlineLevel="1">
      <c r="E314" s="21" t="s">
        <v>183</v>
      </c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>
        <f t="shared" ref="S314" si="669">S133/S312</f>
        <v>17.724821456310682</v>
      </c>
      <c r="T314" s="152">
        <f t="shared" ref="T314" si="670">T133/T312</f>
        <v>2.2000638373570518</v>
      </c>
      <c r="U314" s="152">
        <f t="shared" ref="U314" si="671">U133/U312</f>
        <v>3.2416454329004325</v>
      </c>
      <c r="V314" s="152">
        <f t="shared" ref="V314" si="672">V133/V312</f>
        <v>5.6067985539488321</v>
      </c>
      <c r="W314" s="152">
        <f t="shared" ref="W314" si="673">W133/W312</f>
        <v>5.3876905758807601</v>
      </c>
      <c r="X314" s="152">
        <f t="shared" ref="X314" si="674">X133/X312</f>
        <v>3.8113950242718451</v>
      </c>
      <c r="Y314" s="152">
        <f t="shared" ref="Y314:AN314" si="675">Y133/Y312</f>
        <v>3.528537211848036</v>
      </c>
      <c r="Z314" s="152">
        <f t="shared" si="675"/>
        <v>3.7825368792242138</v>
      </c>
      <c r="AA314" s="152">
        <f t="shared" si="675"/>
        <v>2.6234733681462141</v>
      </c>
      <c r="AB314" s="152">
        <f t="shared" si="675"/>
        <v>2.5679993751375134</v>
      </c>
      <c r="AC314" s="152">
        <f t="shared" si="675"/>
        <v>3.9510302436988813</v>
      </c>
      <c r="AD314" s="152">
        <f t="shared" ca="1" si="675"/>
        <v>3.6139632105142665</v>
      </c>
      <c r="AE314" s="152">
        <f t="shared" ca="1" si="675"/>
        <v>2.9722881939835726</v>
      </c>
      <c r="AF314" s="152">
        <f t="shared" ca="1" si="675"/>
        <v>2.4562585361808575</v>
      </c>
      <c r="AG314" s="152">
        <f t="shared" ca="1" si="675"/>
        <v>2.0402685801318605</v>
      </c>
      <c r="AH314" s="152">
        <f t="shared" ca="1" si="675"/>
        <v>1.7465302780841816</v>
      </c>
      <c r="AI314" s="152">
        <f t="shared" ca="1" si="675"/>
        <v>1.5469190429827242</v>
      </c>
      <c r="AJ314" s="152">
        <f t="shared" ca="1" si="675"/>
        <v>1.3802351560770707</v>
      </c>
      <c r="AK314" s="152">
        <f t="shared" ca="1" si="675"/>
        <v>1.2386604436190545</v>
      </c>
      <c r="AL314" s="152">
        <f t="shared" ca="1" si="675"/>
        <v>1.1414555038117409</v>
      </c>
      <c r="AM314" s="152">
        <f t="shared" ca="1" si="675"/>
        <v>1.0546671370978504</v>
      </c>
      <c r="AN314" s="152">
        <f t="shared" ca="1" si="675"/>
        <v>0.98036522166431672</v>
      </c>
    </row>
    <row r="315" spans="1:46" outlineLevel="1">
      <c r="E315" s="21" t="s">
        <v>21</v>
      </c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>
        <f t="shared" ref="S315" si="676">+S135</f>
        <v>1.3769785545815212</v>
      </c>
      <c r="T315" s="152">
        <f t="shared" ref="T315" si="677">+T135</f>
        <v>0.79073886639676116</v>
      </c>
      <c r="U315" s="152">
        <f t="shared" ref="U315" si="678">+U135</f>
        <v>3.6409479636093369</v>
      </c>
      <c r="V315" s="152">
        <f t="shared" ref="V315" si="679">+V135</f>
        <v>5.1450131483669344</v>
      </c>
      <c r="W315" s="152">
        <f t="shared" ref="W315" si="680">+W135</f>
        <v>6.069786986791728</v>
      </c>
      <c r="X315" s="152">
        <f t="shared" ref="X315" si="681">+X135</f>
        <v>6.4483053261179144</v>
      </c>
      <c r="Y315" s="152">
        <f t="shared" ref="Y315:AN315" si="682">+Y135</f>
        <v>15.73128257871485</v>
      </c>
      <c r="Z315" s="152">
        <f t="shared" si="682"/>
        <v>13.121034358912965</v>
      </c>
      <c r="AA315" s="152">
        <f t="shared" si="682"/>
        <v>15.107450778535583</v>
      </c>
      <c r="AB315" s="152">
        <f t="shared" si="682"/>
        <v>12.203650125464492</v>
      </c>
      <c r="AC315" s="152">
        <f t="shared" si="682"/>
        <v>19.034016781795462</v>
      </c>
      <c r="AD315" s="152">
        <f t="shared" ca="1" si="682"/>
        <v>28.06020623511986</v>
      </c>
      <c r="AE315" s="152">
        <f t="shared" ca="1" si="682"/>
        <v>32.449858377614987</v>
      </c>
      <c r="AF315" s="152">
        <f t="shared" ca="1" si="682"/>
        <v>36.421077439385961</v>
      </c>
      <c r="AG315" s="152">
        <f t="shared" ca="1" si="682"/>
        <v>40.83490029203891</v>
      </c>
      <c r="AH315" s="152">
        <f t="shared" ca="1" si="682"/>
        <v>46.55147861323551</v>
      </c>
      <c r="AI315" s="152">
        <f t="shared" ca="1" si="682"/>
        <v>52.611366684695042</v>
      </c>
      <c r="AJ315" s="152">
        <f t="shared" ca="1" si="682"/>
        <v>59.607641361660647</v>
      </c>
      <c r="AK315" s="152">
        <f t="shared" ca="1" si="682"/>
        <v>67.057124615446796</v>
      </c>
      <c r="AL315" s="152">
        <f t="shared" ca="1" si="682"/>
        <v>75.067795800774377</v>
      </c>
      <c r="AM315" s="152">
        <f t="shared" ca="1" si="682"/>
        <v>83.619306727694536</v>
      </c>
      <c r="AN315" s="152">
        <f t="shared" ca="1" si="682"/>
        <v>91.000756136758497</v>
      </c>
      <c r="AP315" s="160">
        <f ca="1">+(AM315/AC315)^(0.1)-1</f>
        <v>0.15951831128021987</v>
      </c>
      <c r="AQ315" s="160">
        <f t="shared" ref="AQ315" si="683">+(AC315/S315)^(1/10)-1</f>
        <v>0.30035019501452265</v>
      </c>
    </row>
    <row r="316" spans="1:46" outlineLevel="1">
      <c r="E316" s="21" t="s">
        <v>0</v>
      </c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69"/>
      <c r="S316" s="69">
        <f t="shared" ref="S316:AN316" si="684">+S315/AVERAGE(R312:S312)</f>
        <v>0.98058252427184478</v>
      </c>
      <c r="T316" s="69">
        <f t="shared" si="684"/>
        <v>8.7863688958061001E-2</v>
      </c>
      <c r="U316" s="69">
        <f t="shared" si="684"/>
        <v>0.21429186798953304</v>
      </c>
      <c r="V316" s="69">
        <f t="shared" si="684"/>
        <v>0.29811283149195256</v>
      </c>
      <c r="W316" s="69">
        <f t="shared" si="684"/>
        <v>0.37415245905618272</v>
      </c>
      <c r="X316" s="69">
        <f t="shared" si="684"/>
        <v>0.37831269633325038</v>
      </c>
      <c r="Y316" s="69">
        <f t="shared" si="684"/>
        <v>0.5712527077534959</v>
      </c>
      <c r="Z316" s="69">
        <f t="shared" si="684"/>
        <v>0.34062464633649803</v>
      </c>
      <c r="AA316" s="69">
        <f t="shared" si="684"/>
        <v>0.33562543732147243</v>
      </c>
      <c r="AB316" s="69">
        <f t="shared" si="684"/>
        <v>0.2186902904716039</v>
      </c>
      <c r="AC316" s="69">
        <f t="shared" si="684"/>
        <v>0.26327236381390484</v>
      </c>
      <c r="AD316" s="69">
        <f t="shared" ca="1" si="684"/>
        <v>0.31070800855704656</v>
      </c>
      <c r="AE316" s="69">
        <f t="shared" ca="1" si="684"/>
        <v>0.29780862972322752</v>
      </c>
      <c r="AF316" s="69">
        <f t="shared" ca="1" si="684"/>
        <v>0.27562736625217937</v>
      </c>
      <c r="AG316" s="69">
        <f t="shared" ca="1" si="684"/>
        <v>0.25609661279345919</v>
      </c>
      <c r="AH316" s="69">
        <f t="shared" ca="1" si="684"/>
        <v>0.24649768005432804</v>
      </c>
      <c r="AI316" s="69">
        <f t="shared" ca="1" si="684"/>
        <v>0.24286248615987549</v>
      </c>
      <c r="AJ316" s="69">
        <f t="shared" ca="1" si="684"/>
        <v>0.24466122185092806</v>
      </c>
      <c r="AK316" s="69">
        <f t="shared" ca="1" si="684"/>
        <v>0.24633165695462908</v>
      </c>
      <c r="AL316" s="69">
        <f t="shared" ca="1" si="684"/>
        <v>0.25093135863835653</v>
      </c>
      <c r="AM316" s="69">
        <f t="shared" ca="1" si="684"/>
        <v>0.25793632431846975</v>
      </c>
      <c r="AN316" s="69">
        <f t="shared" ca="1" si="684"/>
        <v>0.2601747374229374</v>
      </c>
      <c r="AS316" s="15">
        <f ca="1">+AVERAGE(AD316:AM316)</f>
        <v>0.26294613453024995</v>
      </c>
      <c r="AT316" s="15">
        <f>+AVERAGE(T316:AC316)</f>
        <v>0.30821989895259544</v>
      </c>
    </row>
    <row r="317" spans="1:46" outlineLevel="1">
      <c r="E317" s="21" t="s">
        <v>361</v>
      </c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69"/>
      <c r="S317" s="69">
        <f t="shared" ref="S317:AN317" si="685">+S315/AVERAGE(R313:S313)</f>
        <v>1.5074626865671643</v>
      </c>
      <c r="T317" s="69">
        <f t="shared" si="685"/>
        <v>9.6485479563881968E-2</v>
      </c>
      <c r="U317" s="69">
        <f t="shared" si="685"/>
        <v>0.23326547488107149</v>
      </c>
      <c r="V317" s="69">
        <f t="shared" si="685"/>
        <v>0.32806930385266175</v>
      </c>
      <c r="W317" s="69">
        <f t="shared" si="685"/>
        <v>0.41741300535642517</v>
      </c>
      <c r="X317" s="69">
        <f t="shared" si="685"/>
        <v>0.44970361245733881</v>
      </c>
      <c r="Y317" s="69">
        <f t="shared" si="685"/>
        <v>0.66365629773525625</v>
      </c>
      <c r="Z317" s="69">
        <f t="shared" si="685"/>
        <v>0.36239817159177301</v>
      </c>
      <c r="AA317" s="69">
        <f t="shared" si="685"/>
        <v>0.34009811370198278</v>
      </c>
      <c r="AB317" s="69">
        <f t="shared" si="685"/>
        <v>0.22564310155005438</v>
      </c>
      <c r="AC317" s="69">
        <f t="shared" si="685"/>
        <v>0.27220957424972397</v>
      </c>
      <c r="AD317" s="69">
        <f t="shared" ca="1" si="685"/>
        <v>0.32527122996898938</v>
      </c>
      <c r="AE317" s="69">
        <f t="shared" ca="1" si="685"/>
        <v>0.39450728271170782</v>
      </c>
      <c r="AF317" s="69">
        <f t="shared" ca="1" si="685"/>
        <v>0.51931976089169041</v>
      </c>
      <c r="AG317" s="69">
        <f t="shared" ca="1" si="685"/>
        <v>0.6139416995433391</v>
      </c>
      <c r="AH317" s="69">
        <f t="shared" ca="1" si="685"/>
        <v>0.72231524091709476</v>
      </c>
      <c r="AI317" s="69">
        <f t="shared" ca="1" si="685"/>
        <v>0.81807670161105572</v>
      </c>
      <c r="AJ317" s="69">
        <f t="shared" ca="1" si="685"/>
        <v>0.90270154496059707</v>
      </c>
      <c r="AK317" s="69">
        <f t="shared" ca="1" si="685"/>
        <v>0.97292733915879814</v>
      </c>
      <c r="AL317" s="69">
        <f t="shared" ca="1" si="685"/>
        <v>1.0215931211830185</v>
      </c>
      <c r="AM317" s="69">
        <f t="shared" ca="1" si="685"/>
        <v>1.0501445225126984</v>
      </c>
      <c r="AN317" s="69">
        <f t="shared" ca="1" si="685"/>
        <v>1.024894396849094</v>
      </c>
      <c r="AS317" s="15">
        <f ca="1">+AVERAGE(AD317:AM317)</f>
        <v>0.73407984434589901</v>
      </c>
      <c r="AT317" s="15">
        <f>+AVERAGE(T317:AC317)</f>
        <v>0.33889421349401694</v>
      </c>
    </row>
    <row r="318" spans="1:46" outlineLevel="1">
      <c r="E318" s="21" t="s">
        <v>125</v>
      </c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>
        <f t="shared" ref="S318:AN318" si="686">AVERAGE(SUM(S198:S202,S247,S194,S187),SUM(R198:R202,R247,R194,R187))</f>
        <v>1572.5</v>
      </c>
      <c r="T318" s="62">
        <f t="shared" si="686"/>
        <v>6014</v>
      </c>
      <c r="U318" s="62">
        <f t="shared" si="686"/>
        <v>8952</v>
      </c>
      <c r="V318" s="62">
        <f t="shared" si="686"/>
        <v>9435.5</v>
      </c>
      <c r="W318" s="62">
        <f t="shared" si="686"/>
        <v>9744</v>
      </c>
      <c r="X318" s="62">
        <f t="shared" si="686"/>
        <v>9538</v>
      </c>
      <c r="Y318" s="62">
        <f t="shared" si="686"/>
        <v>10992</v>
      </c>
      <c r="Z318" s="62">
        <f t="shared" si="686"/>
        <v>13848</v>
      </c>
      <c r="AA318" s="62">
        <f t="shared" si="686"/>
        <v>15204</v>
      </c>
      <c r="AB318" s="62">
        <f t="shared" si="686"/>
        <v>14742.5</v>
      </c>
      <c r="AC318" s="62">
        <f t="shared" si="686"/>
        <v>15363</v>
      </c>
      <c r="AD318" s="62">
        <f t="shared" ca="1" si="686"/>
        <v>17844.183203428234</v>
      </c>
      <c r="AE318" s="62">
        <f t="shared" ca="1" si="686"/>
        <v>20698.044821906071</v>
      </c>
      <c r="AF318" s="62">
        <f t="shared" ca="1" si="686"/>
        <v>23289.940894267806</v>
      </c>
      <c r="AG318" s="62">
        <f t="shared" ca="1" si="686"/>
        <v>25574.833010851507</v>
      </c>
      <c r="AH318" s="62">
        <f t="shared" ca="1" si="686"/>
        <v>27904.301952611371</v>
      </c>
      <c r="AI318" s="62">
        <f t="shared" ca="1" si="686"/>
        <v>30051.65087422316</v>
      </c>
      <c r="AJ318" s="62">
        <f t="shared" ca="1" si="686"/>
        <v>32177.427139500687</v>
      </c>
      <c r="AK318" s="62">
        <f t="shared" ca="1" si="686"/>
        <v>34440.605551059256</v>
      </c>
      <c r="AL318" s="62">
        <f t="shared" ca="1" si="686"/>
        <v>36479.387140581333</v>
      </c>
      <c r="AM318" s="62">
        <f t="shared" ca="1" si="686"/>
        <v>38267.364607296891</v>
      </c>
      <c r="AN318" s="62">
        <f t="shared" ca="1" si="686"/>
        <v>39947.155154969216</v>
      </c>
      <c r="AS318" s="15"/>
      <c r="AT318" s="15"/>
    </row>
    <row r="319" spans="1:46" outlineLevel="1">
      <c r="E319" s="21" t="s">
        <v>162</v>
      </c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>
        <f t="shared" ref="S319:AN319" si="687">S318-AVERAGE(S174,R174)</f>
        <v>1536.5</v>
      </c>
      <c r="T319" s="62">
        <f t="shared" si="687"/>
        <v>5943</v>
      </c>
      <c r="U319" s="62">
        <f t="shared" si="687"/>
        <v>8811.5</v>
      </c>
      <c r="V319" s="62">
        <f t="shared" si="687"/>
        <v>9269</v>
      </c>
      <c r="W319" s="62">
        <f t="shared" si="687"/>
        <v>9575.5</v>
      </c>
      <c r="X319" s="62">
        <f t="shared" si="687"/>
        <v>9292.5</v>
      </c>
      <c r="Y319" s="62">
        <f t="shared" si="687"/>
        <v>10660</v>
      </c>
      <c r="Z319" s="62">
        <f t="shared" si="687"/>
        <v>13650.5</v>
      </c>
      <c r="AA319" s="62">
        <f t="shared" si="687"/>
        <v>15156.5</v>
      </c>
      <c r="AB319" s="62">
        <f t="shared" si="687"/>
        <v>14615.5</v>
      </c>
      <c r="AC319" s="62">
        <f t="shared" si="687"/>
        <v>15190</v>
      </c>
      <c r="AD319" s="62">
        <f t="shared" ca="1" si="687"/>
        <v>17559.619103170127</v>
      </c>
      <c r="AE319" s="62">
        <f t="shared" ca="1" si="687"/>
        <v>18899.066825274695</v>
      </c>
      <c r="AF319" s="62">
        <f t="shared" ca="1" si="687"/>
        <v>19216.976680724787</v>
      </c>
      <c r="AG319" s="62">
        <f t="shared" ca="1" si="687"/>
        <v>19657.949818602316</v>
      </c>
      <c r="AH319" s="62">
        <f t="shared" ca="1" si="687"/>
        <v>20271.248247583309</v>
      </c>
      <c r="AI319" s="62">
        <f t="shared" ca="1" si="687"/>
        <v>21075.521231623788</v>
      </c>
      <c r="AJ319" s="62">
        <f t="shared" ca="1" si="687"/>
        <v>22096.964366929798</v>
      </c>
      <c r="AK319" s="62">
        <f t="shared" ca="1" si="687"/>
        <v>23292.510077353178</v>
      </c>
      <c r="AL319" s="62">
        <f t="shared" ca="1" si="687"/>
        <v>24553.363113649364</v>
      </c>
      <c r="AM319" s="62">
        <f t="shared" ca="1" si="687"/>
        <v>25848.506560022652</v>
      </c>
      <c r="AN319" s="62">
        <f t="shared" ca="1" si="687"/>
        <v>27180.311568135374</v>
      </c>
      <c r="AS319" s="15"/>
      <c r="AT319" s="15"/>
    </row>
    <row r="320" spans="1:46" outlineLevel="1">
      <c r="E320" s="21" t="s">
        <v>43</v>
      </c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>
        <f>+(IF(SUM(S120:S121)&gt;0,S116,IF(ABS(SUM(S122:S123))&gt;0.5,S116*(1-DCF!$B$15),S116*(1-SUM(S122:S123))))/AVERAGE(R318:S318))</f>
        <v>0.15508937919267904</v>
      </c>
      <c r="T320" s="154">
        <f>+(IF(SUM(T120:T121)&gt;0,T116,IF(ABS(SUM(T122:T123))&gt;0.5,T116*(1-DCF!$B$15),T116*(1-SUM(T122:T123))))/AVERAGE(S318:T318))</f>
        <v>0.13278670844742155</v>
      </c>
      <c r="U320" s="154">
        <f>+(IF(SUM(U120:U121)&gt;0,U116,IF(ABS(SUM(U122:U123))&gt;0.5,U116*(1-DCF!$B$15),U116*(1-SUM(U122:U123))))/AVERAGE(T318:U318))</f>
        <v>9.215069308614679E-2</v>
      </c>
      <c r="V320" s="154">
        <f>+(IF(SUM(V120:V121)&gt;0,V116,IF(ABS(SUM(V122:V123))&gt;0.5,V116*(1-DCF!$B$15),V116*(1-SUM(V122:V123))))/AVERAGE(U318:V318))</f>
        <v>9.6119006678130114E-2</v>
      </c>
      <c r="W320" s="154">
        <f>+(IF(SUM(W120:W121)&gt;0,W116,IF(ABS(SUM(W122:W123))&gt;0.5,W116*(1-DCF!$B$15),W116*(1-SUM(W122:W123))))/AVERAGE(V318:W318))</f>
        <v>9.6159913731878335E-2</v>
      </c>
      <c r="X320" s="154">
        <f>+(IF(SUM(X120:X121)&gt;0,X116,IF(ABS(SUM(X122:X123))&gt;0.5,X116*(1-DCF!$B$15),X116*(1-SUM(X122:X123))))/AVERAGE(W318:X318))</f>
        <v>9.1387522737337523E-2</v>
      </c>
      <c r="Y320" s="154">
        <f>+(IF(SUM(Y120:Y121)&gt;0,Y116,IF(ABS(SUM(Y122:Y123))&gt;0.5,Y116*(1-DCF!$B$15),Y116*(1-SUM(Y122:Y123))))/AVERAGE(X318:Y318))</f>
        <v>0.14680954700438384</v>
      </c>
      <c r="Z320" s="154">
        <f>+(IF(SUM(Z120:Z121)&gt;0,Z116,IF(ABS(SUM(Z122:Z123))&gt;0.5,Z116*(1-DCF!$B$15),Z116*(1-SUM(Z122:Z123))))/AVERAGE(Y318:Z318))</f>
        <v>0.11664331941226017</v>
      </c>
      <c r="AA320" s="154">
        <f>+(IF(SUM(AA120:AA121)&gt;0,AA116,IF(ABS(SUM(AA122:AA123))&gt;0.5,AA116*(1-DCF!$B$15),AA116*(1-SUM(AA122:AA123))))/AVERAGE(Z318:AA318))</f>
        <v>0.1148784187093302</v>
      </c>
      <c r="AB320" s="154">
        <f>+(IF(SUM(AB120:AB121)&gt;0,AB116,IF(ABS(SUM(AB122:AB123))&gt;0.5,AB116*(1-DCF!$B$15),AB116*(1-SUM(AB122:AB123))))/AVERAGE(AA318:AB318))</f>
        <v>9.3933977401636962E-2</v>
      </c>
      <c r="AC320" s="154">
        <f>+(IF(SUM(AC120:AC121)&gt;0,AC116,IF(ABS(SUM(AC122:AC123))&gt;0.5,AC116*(1-DCF!$B$15),AC116*(1-SUM(AC122:AC123))))/AVERAGE(AB318:AC318))</f>
        <v>0.11357394606864019</v>
      </c>
      <c r="AD320" s="154">
        <f ca="1">+(IF(SUM(AD120:AD121)&gt;0,AD116,IF(ABS(SUM(AD122:AD123))&gt;0.5,AD116*(1-DCF!$B$15),AD116*(1-SUM(AD122:AD123))))/AVERAGE(AC318:AD318))</f>
        <v>0.13937436754859123</v>
      </c>
      <c r="AE320" s="154">
        <f ca="1">+(IF(SUM(AE120:AE121)&gt;0,AE116,IF(ABS(SUM(AE122:AE123))&gt;0.5,AE116*(1-DCF!$B$15),AE116*(1-SUM(AE122:AE123))))/AVERAGE(AD318:AE318))</f>
        <v>0.13453842832139035</v>
      </c>
      <c r="AF320" s="154">
        <f ca="1">+(IF(SUM(AF120:AF121)&gt;0,AF116,IF(ABS(SUM(AF122:AF123))&gt;0.5,AF116*(1-DCF!$B$15),AF116*(1-SUM(AF122:AF123))))/AVERAGE(AE318:AF318))</f>
        <v>0.1282154963367555</v>
      </c>
      <c r="AG320" s="154">
        <f ca="1">+(IF(SUM(AG120:AG121)&gt;0,AG116,IF(ABS(SUM(AG122:AG123))&gt;0.5,AG116*(1-DCF!$B$15),AG116*(1-SUM(AG122:AG123))))/AVERAGE(AF318:AG318))</f>
        <v>0.1248655918639498</v>
      </c>
      <c r="AH320" s="154">
        <f ca="1">+(IF(SUM(AH120:AH121)&gt;0,AH116,IF(ABS(SUM(AH122:AH123))&gt;0.5,AH116*(1-DCF!$B$15),AH116*(1-SUM(AH122:AH123))))/AVERAGE(AG318:AH318))</f>
        <v>0.12397126583200432</v>
      </c>
      <c r="AI320" s="154">
        <f ca="1">+(IF(SUM(AI120:AI121)&gt;0,AI116,IF(ABS(SUM(AI122:AI123))&gt;0.5,AI116*(1-DCF!$B$15),AI116*(1-SUM(AI122:AI123))))/AVERAGE(AH318:AI318))</f>
        <v>0.12380348433253312</v>
      </c>
      <c r="AJ320" s="154">
        <f ca="1">+(IF(SUM(AJ120:AJ121)&gt;0,AJ116,IF(ABS(SUM(AJ122:AJ123))&gt;0.5,AJ116*(1-DCF!$B$15),AJ116*(1-SUM(AJ122:AJ123))))/AVERAGE(AI318:AJ318))</f>
        <v>0.12545728464856867</v>
      </c>
      <c r="AK320" s="154">
        <f ca="1">+(IF(SUM(AK120:AK121)&gt;0,AK116,IF(ABS(SUM(AK122:AK123))&gt;0.5,AK116*(1-DCF!$B$15),AK116*(1-SUM(AK122:AK123))))/AVERAGE(AJ318:AK318))</f>
        <v>0.12711097825810314</v>
      </c>
      <c r="AL320" s="154">
        <f ca="1">+(IF(SUM(AL120:AL121)&gt;0,AL116,IF(ABS(SUM(AL122:AL123))&gt;0.5,AL116*(1-DCF!$B$15),AL116*(1-SUM(AL122:AL123))))/AVERAGE(AK318:AL318))</f>
        <v>0.12800295686467275</v>
      </c>
      <c r="AM320" s="154">
        <f ca="1">+(IF(SUM(AM120:AM121)&gt;0,AM116,IF(ABS(SUM(AM122:AM123))&gt;0.5,AM116*(1-DCF!$B$15),AM116*(1-SUM(AM122:AM123))))/AVERAGE(AL318:AM318))</f>
        <v>0.12988681198946597</v>
      </c>
      <c r="AN320" s="154">
        <f ca="1">+(IF(SUM(AN120:AN121)&gt;0,AN116,IF(ABS(SUM(AN122:AN123))&gt;0.5,AN116*(1-DCF!$B$15),AN116*(1-SUM(AN122:AN123))))/AVERAGE(AM318:AN318))</f>
        <v>0.13019260741971828</v>
      </c>
      <c r="AS320" s="15">
        <f ca="1">+AVERAGE(AD320:AM320)</f>
        <v>0.12852266659960349</v>
      </c>
      <c r="AT320" s="15">
        <f>+AVERAGE(T320:AC320)</f>
        <v>0.10944430532771657</v>
      </c>
    </row>
    <row r="321" spans="1:46" outlineLevel="1">
      <c r="E321" s="21" t="s">
        <v>157</v>
      </c>
      <c r="F321" s="66"/>
      <c r="G321" s="66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4"/>
      <c r="S321" s="154">
        <f>+(IF(SUM(S120:S121)&gt;0,S116,IF(ABS(SUM(S122:S123))&gt;0.5,S116*(1-DCF!$B$15),S116*(1-SUM(S122:S123))))/AVERAGE(R319:S319))</f>
        <v>0.1587231036644893</v>
      </c>
      <c r="T321" s="154">
        <f>+(IF(SUM(T120:T121)&gt;0,T116,IF(ABS(SUM(T122:T123))&gt;0.5,T116*(1-DCF!$B$15),T116*(1-SUM(T122:T123))))/AVERAGE(S319:T319))</f>
        <v>0.13468632443831322</v>
      </c>
      <c r="U321" s="154">
        <f>+(IF(SUM(U120:U121)&gt;0,U116,IF(ABS(SUM(U122:U123))&gt;0.5,U116*(1-DCF!$B$15),U116*(1-SUM(U122:U123))))/AVERAGE(T319:U319))</f>
        <v>9.3471637312499425E-2</v>
      </c>
      <c r="V321" s="154">
        <f>+(IF(SUM(V120:V121)&gt;0,V116,IF(ABS(SUM(V122:V123))&gt;0.5,V116*(1-DCF!$B$15),V116*(1-SUM(V122:V123))))/AVERAGE(U319:V319))</f>
        <v>9.7751070783115374E-2</v>
      </c>
      <c r="W321" s="154">
        <f>+(IF(SUM(W120:W121)&gt;0,W116,IF(ABS(SUM(W122:W123))&gt;0.5,W116*(1-DCF!$B$15),W116*(1-SUM(W122:W123))))/AVERAGE(V319:W319))</f>
        <v>9.786935527185972E-2</v>
      </c>
      <c r="X321" s="154">
        <f>+(IF(SUM(X120:X121)&gt;0,X116,IF(ABS(SUM(X122:X123))&gt;0.5,X116*(1-DCF!$B$15),X116*(1-SUM(X122:X123))))/AVERAGE(W319:X319))</f>
        <v>9.3392739740372169E-2</v>
      </c>
      <c r="Y321" s="154">
        <f>+(IF(SUM(Y120:Y121)&gt;0,Y116,IF(ABS(SUM(Y122:Y123))&gt;0.5,Y116*(1-DCF!$B$15),Y116*(1-SUM(Y122:Y123))))/AVERAGE(X319:Y319))</f>
        <v>0.15105876456584388</v>
      </c>
      <c r="Z321" s="154">
        <f>+(IF(SUM(Z120:Z121)&gt;0,Z116,IF(ABS(SUM(Z122:Z123))&gt;0.5,Z116*(1-DCF!$B$15),Z116*(1-SUM(Z122:Z123))))/AVERAGE(Y319:Z319))</f>
        <v>0.11918389396353601</v>
      </c>
      <c r="AA321" s="154">
        <f>+(IF(SUM(AA120:AA121)&gt;0,AA116,IF(ABS(SUM(AA122:AA123))&gt;0.5,AA116*(1-DCF!$B$15),AA116*(1-SUM(AA122:AA123))))/AVERAGE(Z319:AA319))</f>
        <v>0.1158554455633513</v>
      </c>
      <c r="AB321" s="154">
        <f>+(IF(SUM(AB120:AB121)&gt;0,AB116,IF(ABS(SUM(AB122:AB123))&gt;0.5,AB116*(1-DCF!$B$15),AB116*(1-SUM(AB122:AB123))))/AVERAGE(AA319:AB319))</f>
        <v>9.4484544345630833E-2</v>
      </c>
      <c r="AC321" s="154">
        <f>+(IF(SUM(AC120:AC121)&gt;0,AC116,IF(ABS(SUM(AC122:AC123))&gt;0.5,AC116*(1-DCF!$B$15),AC116*(1-SUM(AC122:AC123))))/AVERAGE(AB319:AC319))</f>
        <v>0.11471709695758994</v>
      </c>
      <c r="AD321" s="154">
        <f ca="1">+(IF(SUM(AD120:AD121)&gt;0,AD116,IF(ABS(SUM(AD122:AD123))&gt;0.5,AD116*(1-DCF!$B$15),AD116*(1-SUM(AD122:AD123))))/AVERAGE(AC319:AD319))</f>
        <v>0.14132164842796613</v>
      </c>
      <c r="AE321" s="154">
        <f ca="1">+(IF(SUM(AE120:AE121)&gt;0,AE116,IF(ABS(SUM(AE122:AE123))&gt;0.5,AE116*(1-DCF!$B$15),AE116*(1-SUM(AE122:AE123))))/AVERAGE(AD319:AE319))</f>
        <v>0.14222703453191379</v>
      </c>
      <c r="AF321" s="154">
        <f ca="1">+(IF(SUM(AF120:AF121)&gt;0,AF116,IF(ABS(SUM(AF122:AF123))&gt;0.5,AF116*(1-DCF!$B$15),AF116*(1-SUM(AF122:AF123))))/AVERAGE(AE319:AF319))</f>
        <v>0.14796765095951306</v>
      </c>
      <c r="AG321" s="154">
        <f ca="1">+(IF(SUM(AG120:AG121)&gt;0,AG116,IF(ABS(SUM(AG122:AG123))&gt;0.5,AG116*(1-DCF!$B$15),AG116*(1-SUM(AG122:AG123))))/AVERAGE(AF319:AG319))</f>
        <v>0.15695280903145695</v>
      </c>
      <c r="AH321" s="154">
        <f ca="1">+(IF(SUM(AH120:AH121)&gt;0,AH116,IF(ABS(SUM(AH122:AH123))&gt;0.5,AH116*(1-DCF!$B$15),AH116*(1-SUM(AH122:AH123))))/AVERAGE(AG319:AH319))</f>
        <v>0.16604080167178864</v>
      </c>
      <c r="AI321" s="154">
        <f ca="1">+(IF(SUM(AI120:AI121)&gt;0,AI116,IF(ABS(SUM(AI122:AI123))&gt;0.5,AI116*(1-DCF!$B$15),AI116*(1-SUM(AI122:AI123))))/AVERAGE(AH319:AI319))</f>
        <v>0.17353590106676539</v>
      </c>
      <c r="AJ321" s="154">
        <f ca="1">+(IF(SUM(AJ120:AJ121)&gt;0,AJ116,IF(ABS(SUM(AJ122:AJ123))&gt;0.5,AJ116*(1-DCF!$B$15),AJ116*(1-SUM(AJ122:AJ123))))/AVERAGE(AI319:AJ319))</f>
        <v>0.18083487771311693</v>
      </c>
      <c r="AK321" s="154">
        <f ca="1">+(IF(SUM(AK120:AK121)&gt;0,AK116,IF(ABS(SUM(AK122:AK123))&gt;0.5,AK116*(1-DCF!$B$15),AK116*(1-SUM(AK122:AK123))))/AVERAGE(AJ319:AK319))</f>
        <v>0.18656050568115665</v>
      </c>
      <c r="AL321" s="154">
        <f ca="1">+(IF(SUM(AL120:AL121)&gt;0,AL116,IF(ABS(SUM(AL122:AL123))&gt;0.5,AL116*(1-DCF!$B$15),AL116*(1-SUM(AL122:AL123))))/AVERAGE(AK319:AL319))</f>
        <v>0.189733579092838</v>
      </c>
      <c r="AM321" s="154">
        <f ca="1">+(IF(SUM(AM120:AM121)&gt;0,AM116,IF(ABS(SUM(AM122:AM123))&gt;0.5,AM116*(1-DCF!$B$15),AM116*(1-SUM(AM122:AM123))))/AVERAGE(AL319:AM319))</f>
        <v>0.19262414973806721</v>
      </c>
      <c r="AN321" s="154">
        <f ca="1">+(IF(SUM(AN120:AN121)&gt;0,AN116,IF(ABS(SUM(AN122:AN123))&gt;0.5,AN116*(1-DCF!$B$15),AN116*(1-SUM(AN122:AN123))))/AVERAGE(AM319:AN319))</f>
        <v>0.19202676252977649</v>
      </c>
      <c r="AS321" s="15">
        <f ca="1">+AVERAGE(AD321:AM321)</f>
        <v>0.16777989579145827</v>
      </c>
      <c r="AT321" s="15">
        <f>+AVERAGE(T321:AC321)</f>
        <v>0.11124708729421118</v>
      </c>
    </row>
    <row r="322" spans="1:46" outlineLevel="1">
      <c r="D322" s="21"/>
      <c r="E322" s="21"/>
      <c r="F322" s="21"/>
      <c r="G322" s="21"/>
      <c r="H322" s="156"/>
      <c r="I322" s="156"/>
      <c r="J322" s="156"/>
      <c r="K322" s="156"/>
      <c r="L322" s="156"/>
      <c r="M322" s="156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8"/>
      <c r="AB322" s="157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62"/>
      <c r="AS322" s="3"/>
      <c r="AT322" s="3"/>
    </row>
    <row r="323" spans="1:46" outlineLevel="1">
      <c r="E323" s="97" t="s">
        <v>127</v>
      </c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>
        <f t="shared" ref="S323:Z323" si="688">+S333</f>
        <v>3.8682497127537345E-2</v>
      </c>
      <c r="T323" s="69">
        <f t="shared" si="688"/>
        <v>1.8217148409035707E-2</v>
      </c>
      <c r="U323" s="69">
        <f t="shared" si="688"/>
        <v>7.8102926337033293E-2</v>
      </c>
      <c r="V323" s="69">
        <f t="shared" si="688"/>
        <v>9.498680738786279E-2</v>
      </c>
      <c r="W323" s="69">
        <f t="shared" si="688"/>
        <v>0.10056730273336771</v>
      </c>
      <c r="X323" s="69">
        <f t="shared" si="688"/>
        <v>9.8229781325928495E-2</v>
      </c>
      <c r="Y323" s="69">
        <f t="shared" si="688"/>
        <v>0.20268031922903176</v>
      </c>
      <c r="Z323" s="69">
        <f t="shared" si="688"/>
        <v>0.13619982602212005</v>
      </c>
      <c r="AA323" s="69">
        <f t="shared" ref="AA323:AN323" si="689">+AA333</f>
        <v>0.12554806972516308</v>
      </c>
      <c r="AB323" s="69">
        <f t="shared" si="689"/>
        <v>0.10433763188745604</v>
      </c>
      <c r="AC323" s="69">
        <f t="shared" si="689"/>
        <v>0.14265129682997119</v>
      </c>
      <c r="AD323" s="69">
        <f t="shared" ca="1" si="689"/>
        <v>0.17188596775327478</v>
      </c>
      <c r="AE323" s="69">
        <f t="shared" ca="1" si="689"/>
        <v>0.17513035919805878</v>
      </c>
      <c r="AF323" s="69">
        <f t="shared" ca="1" si="689"/>
        <v>0.1794222538848094</v>
      </c>
      <c r="AG323" s="69">
        <f t="shared" ca="1" si="689"/>
        <v>0.18478605646377563</v>
      </c>
      <c r="AH323" s="69">
        <f t="shared" ca="1" si="689"/>
        <v>0.19024933213458692</v>
      </c>
      <c r="AI323" s="69">
        <f t="shared" ca="1" si="689"/>
        <v>0.19540424132836806</v>
      </c>
      <c r="AJ323" s="69">
        <f t="shared" ca="1" si="689"/>
        <v>0.2007342432546648</v>
      </c>
      <c r="AK323" s="69">
        <f t="shared" ca="1" si="689"/>
        <v>0.20581314974245402</v>
      </c>
      <c r="AL323" s="69">
        <f t="shared" ca="1" si="689"/>
        <v>0.21041953376782879</v>
      </c>
      <c r="AM323" s="69">
        <f t="shared" ca="1" si="689"/>
        <v>0.21506158050012991</v>
      </c>
      <c r="AN323" s="69">
        <f t="shared" ca="1" si="689"/>
        <v>0.21549834474993071</v>
      </c>
      <c r="AS323" s="15">
        <f ca="1">+AVERAGE(AD323:AM323)</f>
        <v>0.19289067180279512</v>
      </c>
      <c r="AT323" s="15">
        <f>+AVERAGE(T323:AC323)</f>
        <v>0.11015211098869701</v>
      </c>
    </row>
    <row r="324" spans="1:46" outlineLevel="1">
      <c r="E324" s="97" t="s">
        <v>128</v>
      </c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>
        <f t="shared" ref="S324" si="690">+S104/S185</f>
        <v>0.63021964759835869</v>
      </c>
      <c r="T324" s="154">
        <f t="shared" ref="T324" si="691">+T104/T185</f>
        <v>0.37339016869218211</v>
      </c>
      <c r="U324" s="154">
        <f t="shared" ref="U324" si="692">+U104/U185</f>
        <v>0.44118956459798769</v>
      </c>
      <c r="V324" s="154">
        <f t="shared" ref="V324" si="693">+V104/V185</f>
        <v>0.45600385016443412</v>
      </c>
      <c r="W324" s="154">
        <f t="shared" ref="W324" si="694">+W104/W185</f>
        <v>0.48142017710833401</v>
      </c>
      <c r="X324" s="154">
        <f t="shared" ref="X324" si="695">+X104/X185</f>
        <v>0.48064731398064731</v>
      </c>
      <c r="Y324" s="154">
        <f t="shared" ref="Y324:AN324" si="696">+Y104/Y185</f>
        <v>0.44184963406520295</v>
      </c>
      <c r="Z324" s="154">
        <f t="shared" si="696"/>
        <v>0.44377654000992667</v>
      </c>
      <c r="AA324" s="154">
        <f t="shared" si="696"/>
        <v>0.49293621507643648</v>
      </c>
      <c r="AB324" s="154">
        <f t="shared" si="696"/>
        <v>0.47738974703380344</v>
      </c>
      <c r="AC324" s="154">
        <f t="shared" si="696"/>
        <v>0.47880938300808201</v>
      </c>
      <c r="AD324" s="154">
        <f t="shared" ca="1" si="696"/>
        <v>0.48936856677639418</v>
      </c>
      <c r="AE324" s="154">
        <f t="shared" ca="1" si="696"/>
        <v>0.46603021832972041</v>
      </c>
      <c r="AF324" s="154">
        <f t="shared" ca="1" si="696"/>
        <v>0.45053980069206784</v>
      </c>
      <c r="AG324" s="154">
        <f t="shared" ca="1" si="696"/>
        <v>0.43504710801243435</v>
      </c>
      <c r="AH324" s="154">
        <f t="shared" ca="1" si="696"/>
        <v>0.42814522496794449</v>
      </c>
      <c r="AI324" s="154">
        <f t="shared" ca="1" si="696"/>
        <v>0.42607201658581678</v>
      </c>
      <c r="AJ324" s="154">
        <f t="shared" ca="1" si="696"/>
        <v>0.42736759718493073</v>
      </c>
      <c r="AK324" s="154">
        <f t="shared" ca="1" si="696"/>
        <v>0.42806915121905165</v>
      </c>
      <c r="AL324" s="154">
        <f t="shared" ca="1" si="696"/>
        <v>0.43122324722451166</v>
      </c>
      <c r="AM324" s="154">
        <f t="shared" ca="1" si="696"/>
        <v>0.43387071815689215</v>
      </c>
      <c r="AN324" s="154">
        <f t="shared" ca="1" si="696"/>
        <v>0.43903185478630069</v>
      </c>
      <c r="AS324" s="15">
        <f ca="1">+AVERAGE(AD324:AM324)</f>
        <v>0.44157336491497645</v>
      </c>
      <c r="AT324" s="15">
        <f>+AVERAGE(T324:AC324)</f>
        <v>0.45674125937370375</v>
      </c>
    </row>
    <row r="325" spans="1:46" outlineLevel="1">
      <c r="E325" s="97" t="s">
        <v>129</v>
      </c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>
        <f t="shared" ref="S325" si="697">+S185/SUM(S198:S202)</f>
        <v>40.223300970873787</v>
      </c>
      <c r="T325" s="154">
        <f t="shared" ref="T325" si="698">+T185/SUM(T198:T202)</f>
        <v>7.0050825921219824</v>
      </c>
      <c r="U325" s="154">
        <f t="shared" ref="U325" si="699">+U185/SUM(U198:U202)</f>
        <v>6.0773809523809526</v>
      </c>
      <c r="V325" s="154">
        <f t="shared" ref="V325" si="700">+V185/SUM(V198:V202)</f>
        <v>6.9338153503893212</v>
      </c>
      <c r="W325" s="154">
        <f t="shared" ref="W325" si="701">+W185/SUM(W198:W202)</f>
        <v>8.1863143631436319</v>
      </c>
      <c r="X325" s="154">
        <f t="shared" ref="X325" si="702">+X185/SUM(X198:X202)</f>
        <v>7.2742718446601939</v>
      </c>
      <c r="Y325" s="154">
        <f t="shared" ref="Y325:AN325" si="703">+Y185/SUM(Y198:Y202)</f>
        <v>4.8390212491951061</v>
      </c>
      <c r="Z325" s="154">
        <f t="shared" si="703"/>
        <v>5.3285336467822511</v>
      </c>
      <c r="AA325" s="154">
        <f t="shared" si="703"/>
        <v>4.9530026109660579</v>
      </c>
      <c r="AB325" s="154">
        <f t="shared" si="703"/>
        <v>3.9313531353135311</v>
      </c>
      <c r="AC325" s="154">
        <f t="shared" si="703"/>
        <v>3.3870806209313971</v>
      </c>
      <c r="AD325" s="154">
        <f t="shared" ca="1" si="703"/>
        <v>3.3920030137544446</v>
      </c>
      <c r="AE325" s="154">
        <f t="shared" ca="1" si="703"/>
        <v>3.3249593728581366</v>
      </c>
      <c r="AF325" s="154">
        <f t="shared" ca="1" si="703"/>
        <v>3.1136911570512926</v>
      </c>
      <c r="AG325" s="154">
        <f t="shared" ca="1" si="703"/>
        <v>2.9158924086576685</v>
      </c>
      <c r="AH325" s="154">
        <f t="shared" ca="1" si="703"/>
        <v>2.8083646054476881</v>
      </c>
      <c r="AI325" s="154">
        <f t="shared" ca="1" si="703"/>
        <v>2.7503521846475234</v>
      </c>
      <c r="AJ325" s="154">
        <f t="shared" ca="1" si="703"/>
        <v>2.6982991953099242</v>
      </c>
      <c r="AK325" s="154">
        <f t="shared" ca="1" si="703"/>
        <v>2.6525787284766649</v>
      </c>
      <c r="AL325" s="154">
        <f t="shared" ca="1" si="703"/>
        <v>2.6569450240043486</v>
      </c>
      <c r="AM325" s="154">
        <f t="shared" ca="1" si="703"/>
        <v>2.6592363584748928</v>
      </c>
      <c r="AN325" s="154">
        <f t="shared" ca="1" si="703"/>
        <v>2.653084385352984</v>
      </c>
      <c r="AS325" s="15">
        <f ca="1">+AVERAGE(AD325:AM325)</f>
        <v>2.8972322048682582</v>
      </c>
      <c r="AT325" s="15">
        <f>+AVERAGE(T325:AC325)</f>
        <v>5.7915856365884428</v>
      </c>
    </row>
    <row r="326" spans="1:46" outlineLevel="1">
      <c r="E326" s="104" t="s">
        <v>0</v>
      </c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4"/>
      <c r="S326" s="154">
        <f t="shared" ref="S326:AC326" si="704">+S323*S324*S325</f>
        <v>0.98058252427184478</v>
      </c>
      <c r="T326" s="154">
        <f t="shared" si="704"/>
        <v>4.7649301143583234E-2</v>
      </c>
      <c r="U326" s="154">
        <f t="shared" si="704"/>
        <v>0.20941558441558439</v>
      </c>
      <c r="V326" s="154">
        <f t="shared" si="704"/>
        <v>0.30033370411568405</v>
      </c>
      <c r="W326" s="154">
        <f t="shared" si="704"/>
        <v>0.39634146341463417</v>
      </c>
      <c r="X326" s="154">
        <f t="shared" si="704"/>
        <v>0.34344660194174753</v>
      </c>
      <c r="Y326" s="154">
        <f t="shared" si="704"/>
        <v>0.43335479716677394</v>
      </c>
      <c r="Z326" s="154">
        <f t="shared" si="704"/>
        <v>0.32206876285630326</v>
      </c>
      <c r="AA326" s="154">
        <f t="shared" si="704"/>
        <v>0.30652741514360315</v>
      </c>
      <c r="AB326" s="154">
        <f t="shared" si="704"/>
        <v>0.19581958195819579</v>
      </c>
      <c r="AC326" s="154">
        <f t="shared" si="704"/>
        <v>0.2313470205307962</v>
      </c>
      <c r="AD326" s="154">
        <f t="shared" ref="AD326:AN326" ca="1" si="705">+AD323*AD324*AD325</f>
        <v>0.2853203337267633</v>
      </c>
      <c r="AE326" s="154">
        <f t="shared" ca="1" si="705"/>
        <v>0.27137001562158558</v>
      </c>
      <c r="AF326" s="154">
        <f t="shared" ca="1" si="705"/>
        <v>0.25170103640030334</v>
      </c>
      <c r="AG326" s="154">
        <f t="shared" ca="1" si="705"/>
        <v>0.23441045534484359</v>
      </c>
      <c r="AH326" s="154">
        <f t="shared" ca="1" si="705"/>
        <v>0.22875349414102761</v>
      </c>
      <c r="AI326" s="154">
        <f t="shared" ca="1" si="705"/>
        <v>0.22898408925187563</v>
      </c>
      <c r="AJ326" s="154">
        <f t="shared" ca="1" si="705"/>
        <v>0.23147983281244083</v>
      </c>
      <c r="AK326" s="154">
        <f t="shared" ca="1" si="705"/>
        <v>0.2336981816554711</v>
      </c>
      <c r="AL326" s="154">
        <f t="shared" ca="1" si="705"/>
        <v>0.2410853319335147</v>
      </c>
      <c r="AM326" s="154">
        <f t="shared" ca="1" si="705"/>
        <v>0.24813047896180468</v>
      </c>
      <c r="AN326" s="154">
        <f t="shared" ca="1" si="705"/>
        <v>0.25101000636327075</v>
      </c>
      <c r="AS326" s="15">
        <f ca="1">+AVERAGE(AD326:AM326)</f>
        <v>0.24549332498496304</v>
      </c>
      <c r="AT326" s="15">
        <f>+AVERAGE(T326:AC326)</f>
        <v>0.27863042326869059</v>
      </c>
    </row>
    <row r="328" spans="1:46">
      <c r="D328" s="258"/>
      <c r="E328" s="259" t="s">
        <v>149</v>
      </c>
      <c r="F328" s="258"/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  <c r="AA328" s="258"/>
      <c r="AB328" s="258"/>
      <c r="AC328" s="258"/>
      <c r="AD328" s="258"/>
      <c r="AE328" s="258"/>
      <c r="AF328" s="258"/>
      <c r="AG328" s="258"/>
      <c r="AH328" s="258"/>
      <c r="AI328" s="258"/>
      <c r="AJ328" s="258"/>
      <c r="AK328" s="258"/>
      <c r="AL328" s="258"/>
      <c r="AM328" s="258"/>
      <c r="AN328" s="258"/>
    </row>
    <row r="329" spans="1:46" ht="5.0999999999999996" customHeight="1">
      <c r="C329" s="95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6"/>
      <c r="AP329" s="1"/>
    </row>
    <row r="330" spans="1:46" outlineLevel="1">
      <c r="E330" s="97" t="s">
        <v>112</v>
      </c>
      <c r="G330" s="21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>
        <f t="shared" ref="S330" si="706">+S106/S$104</f>
        <v>0.50593642282650331</v>
      </c>
      <c r="T330" s="69">
        <f t="shared" ref="T330" si="707">+T106/T$104</f>
        <v>0.55525868350740826</v>
      </c>
      <c r="U330" s="69">
        <f t="shared" ref="U330" si="708">+U106/U$104</f>
        <v>0.57295660948536831</v>
      </c>
      <c r="V330" s="69">
        <f t="shared" ref="V330" si="709">+V106/V$104</f>
        <v>0.58979771328056285</v>
      </c>
      <c r="W330" s="69">
        <f t="shared" ref="W330" si="710">+W106/W$104</f>
        <v>0.59412068076328006</v>
      </c>
      <c r="X330" s="69">
        <f t="shared" ref="X330" si="711">+X106/X$104</f>
        <v>0.58885803540437354</v>
      </c>
      <c r="Y330" s="69">
        <f t="shared" ref="Y330:AN330" si="712">+Y106/Y$104</f>
        <v>0.58620689655172409</v>
      </c>
      <c r="Z330" s="69">
        <f t="shared" si="712"/>
        <v>0.5874238846775196</v>
      </c>
      <c r="AA330" s="69">
        <f t="shared" si="712"/>
        <v>0.56689124157844084</v>
      </c>
      <c r="AB330" s="69">
        <f t="shared" si="712"/>
        <v>0.56084407971864014</v>
      </c>
      <c r="AC330" s="69">
        <f t="shared" si="712"/>
        <v>0.56237134623301765</v>
      </c>
      <c r="AD330" s="69">
        <f t="shared" si="712"/>
        <v>0.58074076389112894</v>
      </c>
      <c r="AE330" s="69">
        <f t="shared" ca="1" si="712"/>
        <v>0.60972132800674872</v>
      </c>
      <c r="AF330" s="69">
        <f t="shared" ca="1" si="712"/>
        <v>0.61269812666405965</v>
      </c>
      <c r="AG330" s="69">
        <f t="shared" ca="1" si="712"/>
        <v>0.61716429075394708</v>
      </c>
      <c r="AH330" s="69">
        <f t="shared" ca="1" si="712"/>
        <v>0.6212432577638517</v>
      </c>
      <c r="AI330" s="69">
        <f t="shared" ca="1" si="712"/>
        <v>0.62641551164606113</v>
      </c>
      <c r="AJ330" s="69">
        <f t="shared" ca="1" si="712"/>
        <v>0.63094450979232719</v>
      </c>
      <c r="AK330" s="69">
        <f t="shared" ca="1" si="712"/>
        <v>0.63636909398019548</v>
      </c>
      <c r="AL330" s="69">
        <f t="shared" ca="1" si="712"/>
        <v>0.64385245992887252</v>
      </c>
      <c r="AM330" s="69">
        <f t="shared" ca="1" si="712"/>
        <v>0.65143512433343453</v>
      </c>
      <c r="AN330" s="69">
        <f t="shared" ca="1" si="712"/>
        <v>0.65322307799929547</v>
      </c>
    </row>
    <row r="331" spans="1:46" outlineLevel="1">
      <c r="E331" s="97" t="s">
        <v>63</v>
      </c>
      <c r="G331" s="21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>
        <f t="shared" ref="S331" si="713">(+S116+SUM(S111:S113))/S$104</f>
        <v>-3.2171581769436998E-2</v>
      </c>
      <c r="T331" s="69">
        <f t="shared" ref="T331" si="714">(+T116+SUM(T111:T113))/T$104</f>
        <v>-7.432596550886568E-2</v>
      </c>
      <c r="U331" s="69">
        <f t="shared" ref="U331" si="715">(+U116+SUM(U111:U113))/U$104</f>
        <v>-4.0363269424823411E-3</v>
      </c>
      <c r="V331" s="69">
        <f t="shared" ref="V331" si="716">(+V116+SUM(V111:V113))/V$104</f>
        <v>3.4652594547053647E-2</v>
      </c>
      <c r="W331" s="69">
        <f t="shared" ref="W331" si="717">(+W116+SUM(W111:W113))/W$104</f>
        <v>4.7103317861440605E-2</v>
      </c>
      <c r="X331" s="69">
        <f t="shared" ref="X331" si="718">(+X116+SUM(X111:X113))/X$104</f>
        <v>2.9503644567858381E-2</v>
      </c>
      <c r="Y331" s="69">
        <f t="shared" ref="Y331:AN331" si="719">(+Y116+SUM(Y111:Y113))/Y$104</f>
        <v>1.8671886764041561E-2</v>
      </c>
      <c r="Z331" s="69">
        <f t="shared" si="719"/>
        <v>3.4795575991052569E-2</v>
      </c>
      <c r="AA331" s="69">
        <f>(+AA116+SUM(AA111:AA113))/AA$104</f>
        <v>1.2191209496310555E-2</v>
      </c>
      <c r="AB331" s="69">
        <f t="shared" si="719"/>
        <v>-2.2039859320046894E-2</v>
      </c>
      <c r="AC331" s="69">
        <f t="shared" si="719"/>
        <v>3.0259365994236311E-2</v>
      </c>
      <c r="AD331" s="69">
        <f t="shared" si="719"/>
        <v>7.7735553110869118E-2</v>
      </c>
      <c r="AE331" s="69">
        <f t="shared" ca="1" si="719"/>
        <v>6.8530869691434224E-2</v>
      </c>
      <c r="AF331" s="69">
        <f t="shared" ca="1" si="719"/>
        <v>8.0108306316633182E-2</v>
      </c>
      <c r="AG331" s="69">
        <f t="shared" ca="1" si="719"/>
        <v>8.9546893166559879E-2</v>
      </c>
      <c r="AH331" s="69">
        <f t="shared" ca="1" si="719"/>
        <v>9.9332819712980552E-2</v>
      </c>
      <c r="AI331" s="69">
        <f t="shared" ca="1" si="719"/>
        <v>0.1076073394120894</v>
      </c>
      <c r="AJ331" s="69">
        <f t="shared" ca="1" si="719"/>
        <v>0.11662894020424354</v>
      </c>
      <c r="AK331" s="69">
        <f t="shared" ca="1" si="719"/>
        <v>0.12444932219831757</v>
      </c>
      <c r="AL331" s="69">
        <f t="shared" ca="1" si="719"/>
        <v>0.12956539744973145</v>
      </c>
      <c r="AM331" s="69">
        <f t="shared" ca="1" si="719"/>
        <v>0.13446152830327457</v>
      </c>
      <c r="AN331" s="69">
        <f t="shared" ca="1" si="719"/>
        <v>0.13339058591609257</v>
      </c>
    </row>
    <row r="332" spans="1:46" outlineLevel="1">
      <c r="E332" s="97" t="s">
        <v>126</v>
      </c>
      <c r="G332" s="21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>
        <f t="shared" ref="S332" si="720">+S116/S$104</f>
        <v>0.15166602834163156</v>
      </c>
      <c r="T332" s="69">
        <f t="shared" ref="T332" si="721">+T116/T$104</f>
        <v>0.14355112946320137</v>
      </c>
      <c r="U332" s="69">
        <f t="shared" ref="U332" si="722">+U116/U$104</f>
        <v>0.2175580221997982</v>
      </c>
      <c r="V332" s="69">
        <f t="shared" ref="V332" si="723">+V116/V$104</f>
        <v>0.24467897977132805</v>
      </c>
      <c r="W332" s="69">
        <f t="shared" ref="W332" si="724">+W116/W$104</f>
        <v>0.26095925734914904</v>
      </c>
      <c r="X332" s="69">
        <f t="shared" ref="X332" si="725">+X116/X$104</f>
        <v>0.24557445331482125</v>
      </c>
      <c r="Y332" s="69">
        <f t="shared" ref="Y332:AN332" si="726">+Y116/Y$104</f>
        <v>0.22692365607589218</v>
      </c>
      <c r="Z332" s="69">
        <f t="shared" si="726"/>
        <v>0.24245060270908414</v>
      </c>
      <c r="AA332" s="69">
        <f t="shared" si="726"/>
        <v>0.23013581435140626</v>
      </c>
      <c r="AB332" s="69">
        <f t="shared" si="726"/>
        <v>0.21101992966002345</v>
      </c>
      <c r="AC332" s="69">
        <f t="shared" si="726"/>
        <v>0.23435570193495264</v>
      </c>
      <c r="AD332" s="69">
        <f t="shared" si="726"/>
        <v>0.26803581185628927</v>
      </c>
      <c r="AE332" s="69">
        <f t="shared" ca="1" si="726"/>
        <v>0.27817375220438173</v>
      </c>
      <c r="AF332" s="69">
        <f t="shared" ca="1" si="726"/>
        <v>0.28570086984563664</v>
      </c>
      <c r="AG332" s="69">
        <f t="shared" ca="1" si="726"/>
        <v>0.29290324531554368</v>
      </c>
      <c r="AH332" s="69">
        <f t="shared" ca="1" si="726"/>
        <v>0.30008569209370634</v>
      </c>
      <c r="AI332" s="69">
        <f t="shared" ca="1" si="726"/>
        <v>0.30705907888436551</v>
      </c>
      <c r="AJ332" s="69">
        <f t="shared" ca="1" si="726"/>
        <v>0.31408437835357561</v>
      </c>
      <c r="AK332" s="69">
        <f t="shared" ca="1" si="726"/>
        <v>0.32095686144454677</v>
      </c>
      <c r="AL332" s="69">
        <f t="shared" ca="1" si="726"/>
        <v>0.32750658204459221</v>
      </c>
      <c r="AM332" s="69">
        <f t="shared" ca="1" si="726"/>
        <v>0.3339959796736448</v>
      </c>
      <c r="AN332" s="69">
        <f t="shared" ca="1" si="726"/>
        <v>0.33460448531298426</v>
      </c>
    </row>
    <row r="333" spans="1:46" outlineLevel="1">
      <c r="E333" s="97" t="s">
        <v>113</v>
      </c>
      <c r="G333" s="21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>
        <f t="shared" ref="S333" si="727">+S124/S$104</f>
        <v>3.8682497127537345E-2</v>
      </c>
      <c r="T333" s="69">
        <f t="shared" ref="T333" si="728">+T124/T$104</f>
        <v>1.8217148409035707E-2</v>
      </c>
      <c r="U333" s="69">
        <f t="shared" ref="U333" si="729">+U124/U$104</f>
        <v>7.8102926337033293E-2</v>
      </c>
      <c r="V333" s="69">
        <f t="shared" ref="V333" si="730">+V124/V$104</f>
        <v>9.498680738786279E-2</v>
      </c>
      <c r="W333" s="69">
        <f t="shared" ref="W333" si="731">+W124/W$104</f>
        <v>0.10056730273336771</v>
      </c>
      <c r="X333" s="69">
        <f t="shared" ref="X333" si="732">+X124/X$104</f>
        <v>9.8229781325928495E-2</v>
      </c>
      <c r="Y333" s="69">
        <f t="shared" ref="Y333:AN333" si="733">+Y124/Y$104</f>
        <v>0.20268031922903176</v>
      </c>
      <c r="Z333" s="69">
        <f t="shared" si="733"/>
        <v>0.13619982602212005</v>
      </c>
      <c r="AA333" s="69">
        <f t="shared" si="733"/>
        <v>0.12554806972516308</v>
      </c>
      <c r="AB333" s="69">
        <f t="shared" si="733"/>
        <v>0.10433763188745604</v>
      </c>
      <c r="AC333" s="69">
        <f t="shared" si="733"/>
        <v>0.14265129682997119</v>
      </c>
      <c r="AD333" s="69">
        <f t="shared" ca="1" si="733"/>
        <v>0.17188596775327478</v>
      </c>
      <c r="AE333" s="69">
        <f t="shared" ca="1" si="733"/>
        <v>0.17513035919805878</v>
      </c>
      <c r="AF333" s="69">
        <f t="shared" ca="1" si="733"/>
        <v>0.1794222538848094</v>
      </c>
      <c r="AG333" s="69">
        <f t="shared" ca="1" si="733"/>
        <v>0.18478605646377563</v>
      </c>
      <c r="AH333" s="69">
        <f t="shared" ca="1" si="733"/>
        <v>0.19024933213458692</v>
      </c>
      <c r="AI333" s="69">
        <f t="shared" ca="1" si="733"/>
        <v>0.19540424132836806</v>
      </c>
      <c r="AJ333" s="69">
        <f t="shared" ca="1" si="733"/>
        <v>0.2007342432546648</v>
      </c>
      <c r="AK333" s="69">
        <f t="shared" ca="1" si="733"/>
        <v>0.20581314974245402</v>
      </c>
      <c r="AL333" s="69">
        <f t="shared" ca="1" si="733"/>
        <v>0.21041953376782879</v>
      </c>
      <c r="AM333" s="69">
        <f t="shared" ca="1" si="733"/>
        <v>0.21506158050012991</v>
      </c>
      <c r="AN333" s="69">
        <f t="shared" ca="1" si="733"/>
        <v>0.21549834474993071</v>
      </c>
    </row>
    <row r="335" spans="1:46" s="21" customFormat="1">
      <c r="A335" s="268"/>
      <c r="B335" s="268"/>
      <c r="H335" s="149"/>
      <c r="I335" s="149"/>
      <c r="J335" s="149"/>
      <c r="K335" s="149"/>
      <c r="L335" s="149"/>
      <c r="M335" s="149"/>
      <c r="N335" s="149"/>
      <c r="O335" s="149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</row>
  </sheetData>
  <conditionalFormatting sqref="AC204 AF204:AL204">
    <cfRule type="cellIs" dxfId="14" priority="52" operator="equal">
      <formula>FALSE</formula>
    </cfRule>
  </conditionalFormatting>
  <conditionalFormatting sqref="AM204">
    <cfRule type="cellIs" dxfId="13" priority="32" operator="equal">
      <formula>FALSE</formula>
    </cfRule>
  </conditionalFormatting>
  <conditionalFormatting sqref="AN204">
    <cfRule type="cellIs" dxfId="12" priority="29" operator="equal">
      <formula>FALSE</formula>
    </cfRule>
  </conditionalFormatting>
  <conditionalFormatting sqref="AB204">
    <cfRule type="cellIs" dxfId="11" priority="14" operator="equal">
      <formula>FALSE</formula>
    </cfRule>
  </conditionalFormatting>
  <conditionalFormatting sqref="AA204">
    <cfRule type="cellIs" dxfId="10" priority="13" operator="equal">
      <formula>FALSE</formula>
    </cfRule>
  </conditionalFormatting>
  <conditionalFormatting sqref="Z204">
    <cfRule type="cellIs" dxfId="9" priority="12" operator="equal">
      <formula>FALSE</formula>
    </cfRule>
  </conditionalFormatting>
  <conditionalFormatting sqref="Y204">
    <cfRule type="cellIs" dxfId="8" priority="11" operator="equal">
      <formula>FALSE</formula>
    </cfRule>
  </conditionalFormatting>
  <conditionalFormatting sqref="AE204">
    <cfRule type="cellIs" dxfId="7" priority="10" operator="equal">
      <formula>FALSE</formula>
    </cfRule>
  </conditionalFormatting>
  <conditionalFormatting sqref="AD204">
    <cfRule type="cellIs" dxfId="6" priority="9" operator="equal">
      <formula>FALSE</formula>
    </cfRule>
  </conditionalFormatting>
  <conditionalFormatting sqref="W204">
    <cfRule type="cellIs" dxfId="5" priority="6" operator="equal">
      <formula>FALSE</formula>
    </cfRule>
  </conditionalFormatting>
  <conditionalFormatting sqref="X204">
    <cfRule type="cellIs" dxfId="4" priority="7" operator="equal">
      <formula>FALSE</formula>
    </cfRule>
  </conditionalFormatting>
  <conditionalFormatting sqref="V204">
    <cfRule type="cellIs" dxfId="3" priority="5" operator="equal">
      <formula>FALSE</formula>
    </cfRule>
  </conditionalFormatting>
  <conditionalFormatting sqref="U204">
    <cfRule type="cellIs" dxfId="2" priority="4" operator="equal">
      <formula>FALSE</formula>
    </cfRule>
  </conditionalFormatting>
  <conditionalFormatting sqref="T204">
    <cfRule type="cellIs" dxfId="1" priority="3" operator="equal">
      <formula>FALSE</formula>
    </cfRule>
  </conditionalFormatting>
  <conditionalFormatting sqref="S204">
    <cfRule type="cellIs" dxfId="0" priority="1" operator="equal">
      <formula>FALSE</formula>
    </cfRule>
  </conditionalFormatting>
  <pageMargins left="0.7" right="0.7" top="0.75" bottom="0.75" header="0.3" footer="0.3"/>
  <pageSetup scale="10" orientation="landscape" r:id="rId1"/>
  <ignoredErrors>
    <ignoredError sqref="AC48" formulaRange="1"/>
    <ignoredError sqref="AG273:AN27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autoPageBreaks="0"/>
  </sheetPr>
  <dimension ref="A1:XDY69"/>
  <sheetViews>
    <sheetView showGridLines="0" tabSelected="1" topLeftCell="A13" zoomScale="70" zoomScaleNormal="70" workbookViewId="0">
      <selection activeCell="O17" sqref="O17"/>
    </sheetView>
  </sheetViews>
  <sheetFormatPr defaultRowHeight="15"/>
  <cols>
    <col min="1" max="1" width="25.28515625" bestFit="1" customWidth="1"/>
    <col min="2" max="12" width="9.7109375" customWidth="1"/>
    <col min="15" max="15" width="11.140625" style="310" bestFit="1" customWidth="1"/>
  </cols>
  <sheetData>
    <row r="1" spans="1:23">
      <c r="A1" s="249" t="s">
        <v>60</v>
      </c>
      <c r="B1" s="249"/>
      <c r="C1" s="249"/>
      <c r="D1" s="249"/>
      <c r="F1" s="249" t="s">
        <v>346</v>
      </c>
      <c r="G1" s="250"/>
      <c r="H1" s="250"/>
      <c r="I1" s="250"/>
      <c r="J1" s="250"/>
      <c r="K1" s="250"/>
      <c r="L1" s="250"/>
    </row>
    <row r="2" spans="1:23">
      <c r="A2" s="3" t="s">
        <v>52</v>
      </c>
      <c r="B2" s="25">
        <f ca="1">TODAY()</f>
        <v>45036</v>
      </c>
      <c r="F2" s="23"/>
      <c r="I2" s="16"/>
      <c r="J2" s="20" t="s">
        <v>351</v>
      </c>
      <c r="K2" s="20" t="str">
        <f>+J2</f>
        <v>'02-21</v>
      </c>
      <c r="L2" s="20" t="str">
        <f>+K2</f>
        <v>'02-21</v>
      </c>
    </row>
    <row r="3" spans="1:23">
      <c r="A3" s="3" t="s">
        <v>53</v>
      </c>
      <c r="B3" s="198" t="s">
        <v>310</v>
      </c>
      <c r="F3" s="23"/>
      <c r="I3" s="16" t="s">
        <v>42</v>
      </c>
      <c r="J3" s="16" t="s">
        <v>45</v>
      </c>
      <c r="K3" s="16" t="s">
        <v>44</v>
      </c>
      <c r="L3" s="16" t="s">
        <v>58</v>
      </c>
    </row>
    <row r="4" spans="1:23">
      <c r="A4" s="3" t="s">
        <v>54</v>
      </c>
      <c r="B4" s="198" t="s">
        <v>311</v>
      </c>
      <c r="F4" s="3" t="s">
        <v>347</v>
      </c>
      <c r="I4" s="256">
        <v>18</v>
      </c>
      <c r="J4" s="257">
        <v>0.18704478947368422</v>
      </c>
      <c r="K4" s="257">
        <v>0.13286878947368422</v>
      </c>
      <c r="L4" s="257">
        <v>0.7913621982398279</v>
      </c>
    </row>
    <row r="5" spans="1:23">
      <c r="F5" s="3" t="s">
        <v>349</v>
      </c>
      <c r="I5" s="256">
        <v>20</v>
      </c>
      <c r="J5" s="257">
        <v>0.16022820000000004</v>
      </c>
      <c r="K5" s="257">
        <v>0.10139482352941177</v>
      </c>
      <c r="L5" s="257">
        <v>1.9410027491859814</v>
      </c>
      <c r="P5" s="315"/>
      <c r="Q5" s="12"/>
      <c r="R5" s="12"/>
      <c r="S5" s="12"/>
      <c r="T5" s="15"/>
      <c r="U5" s="12"/>
      <c r="V5" s="12"/>
      <c r="W5" s="12"/>
    </row>
    <row r="6" spans="1:23">
      <c r="A6" s="249" t="s">
        <v>380</v>
      </c>
      <c r="B6" s="250"/>
      <c r="C6" s="250"/>
      <c r="D6" s="250"/>
      <c r="F6" s="3" t="s">
        <v>350</v>
      </c>
      <c r="I6" s="256">
        <v>7</v>
      </c>
      <c r="J6" s="257">
        <v>0.14291314285714285</v>
      </c>
      <c r="K6" s="257">
        <v>6.0818428571428572E-2</v>
      </c>
      <c r="L6" s="257">
        <v>4.1135862534309551</v>
      </c>
      <c r="P6" s="12"/>
      <c r="Q6" s="316"/>
      <c r="R6" s="316"/>
      <c r="S6" s="316"/>
      <c r="T6" s="316"/>
      <c r="U6" s="316"/>
      <c r="V6" s="316"/>
      <c r="W6" s="316"/>
    </row>
    <row r="7" spans="1:23">
      <c r="A7" t="s">
        <v>26</v>
      </c>
      <c r="B7" s="199">
        <v>2022</v>
      </c>
      <c r="F7" s="3" t="s">
        <v>348</v>
      </c>
      <c r="I7" s="256">
        <v>20</v>
      </c>
      <c r="J7" s="257">
        <v>0.24398400000000003</v>
      </c>
      <c r="K7" s="257">
        <v>9.3906764705882356E-2</v>
      </c>
      <c r="L7" s="257">
        <v>2.1427289236805436</v>
      </c>
      <c r="P7" s="12"/>
      <c r="Q7" s="316"/>
      <c r="R7" s="316"/>
      <c r="S7" s="316"/>
      <c r="T7" s="316"/>
      <c r="U7" s="316"/>
      <c r="V7" s="316"/>
      <c r="W7" s="316"/>
    </row>
    <row r="8" spans="1:23">
      <c r="A8" t="s">
        <v>27</v>
      </c>
      <c r="B8" s="200">
        <v>3.5000000000000003E-2</v>
      </c>
      <c r="F8" s="3" t="s">
        <v>46</v>
      </c>
      <c r="I8" s="256">
        <v>20</v>
      </c>
      <c r="J8" s="257">
        <v>0.18814331249999999</v>
      </c>
      <c r="K8" s="257">
        <v>8.1679388888888885E-2</v>
      </c>
      <c r="L8" s="257">
        <v>1.3508118873488064</v>
      </c>
      <c r="P8" s="15"/>
      <c r="Q8" s="316"/>
      <c r="R8" s="316"/>
      <c r="S8" s="316"/>
      <c r="T8" s="316"/>
      <c r="U8" s="316"/>
      <c r="V8" s="316"/>
      <c r="W8" s="316"/>
    </row>
    <row r="9" spans="1:23">
      <c r="A9" t="s">
        <v>28</v>
      </c>
      <c r="B9" s="200">
        <v>5.7500000000000002E-2</v>
      </c>
      <c r="F9" s="3" t="s">
        <v>50</v>
      </c>
      <c r="I9" s="92" t="s">
        <v>36</v>
      </c>
      <c r="J9" s="92" t="s">
        <v>36</v>
      </c>
      <c r="K9" s="27">
        <f ca="1">+I19</f>
        <v>0.11520620418772146</v>
      </c>
      <c r="L9" s="27">
        <f ca="1">IFERROR(-M47/M43,"na")</f>
        <v>0.83453547218617219</v>
      </c>
      <c r="P9" s="12"/>
      <c r="Q9" s="316"/>
      <c r="R9" s="316"/>
      <c r="S9" s="316"/>
      <c r="T9" s="316"/>
      <c r="U9" s="316"/>
      <c r="V9" s="316"/>
      <c r="W9" s="316"/>
    </row>
    <row r="10" spans="1:23">
      <c r="A10" t="s">
        <v>369</v>
      </c>
      <c r="B10" s="201">
        <v>1.32</v>
      </c>
      <c r="P10" s="12"/>
      <c r="Q10" s="316"/>
      <c r="R10" s="316"/>
      <c r="S10" s="316"/>
      <c r="T10" s="316"/>
      <c r="U10" s="316"/>
      <c r="V10" s="316"/>
      <c r="W10" s="316"/>
    </row>
    <row r="11" spans="1:23">
      <c r="A11" t="s">
        <v>379</v>
      </c>
      <c r="B11" s="1">
        <f>+B8+B9*B10</f>
        <v>0.11090000000000001</v>
      </c>
      <c r="F11" s="249" t="s">
        <v>37</v>
      </c>
      <c r="G11" s="250"/>
      <c r="H11" s="250"/>
      <c r="I11" s="250"/>
      <c r="J11" s="250"/>
      <c r="K11" s="250"/>
      <c r="L11" s="250"/>
      <c r="P11" s="12"/>
    </row>
    <row r="12" spans="1:23">
      <c r="A12" t="s">
        <v>378</v>
      </c>
      <c r="B12" s="202">
        <v>0</v>
      </c>
      <c r="I12" s="126"/>
      <c r="K12" s="16"/>
    </row>
    <row r="13" spans="1:23">
      <c r="A13" t="s">
        <v>59</v>
      </c>
      <c r="B13" s="279">
        <f>6.07%-B8</f>
        <v>2.5700000000000001E-2</v>
      </c>
      <c r="F13" t="s">
        <v>27</v>
      </c>
      <c r="H13" s="18"/>
      <c r="I13" s="305">
        <f>+$B$8</f>
        <v>3.5000000000000003E-2</v>
      </c>
      <c r="K13" s="19"/>
      <c r="L13" s="17"/>
    </row>
    <row r="14" spans="1:23">
      <c r="A14" t="s">
        <v>29</v>
      </c>
      <c r="B14" s="26">
        <f>+B8+B13</f>
        <v>6.0700000000000004E-2</v>
      </c>
      <c r="F14" t="s">
        <v>57</v>
      </c>
      <c r="H14" s="18"/>
      <c r="I14" s="306">
        <v>0</v>
      </c>
      <c r="K14" s="19"/>
      <c r="L14" s="17"/>
    </row>
    <row r="15" spans="1:23">
      <c r="A15" t="s">
        <v>2</v>
      </c>
      <c r="B15" s="203">
        <f ca="1">+Model!AN122</f>
        <v>0.25</v>
      </c>
      <c r="F15" t="s">
        <v>41</v>
      </c>
      <c r="H15" s="18"/>
      <c r="I15" s="307">
        <f>+I13+I14</f>
        <v>3.5000000000000003E-2</v>
      </c>
      <c r="K15" s="19"/>
      <c r="L15" s="17"/>
    </row>
    <row r="16" spans="1:23">
      <c r="A16" t="s">
        <v>30</v>
      </c>
      <c r="B16" s="135">
        <f ca="1">+B14*(1-B15)</f>
        <v>4.5525000000000003E-2</v>
      </c>
      <c r="F16" t="s">
        <v>51</v>
      </c>
      <c r="H16" s="17"/>
      <c r="I16" s="308">
        <f ca="1">+I15/I19</f>
        <v>0.30380308288752961</v>
      </c>
      <c r="K16" s="19"/>
      <c r="L16" s="17"/>
    </row>
    <row r="17" spans="1:15">
      <c r="A17" t="s">
        <v>18</v>
      </c>
      <c r="B17" s="304">
        <f ca="1">Model!AD131</f>
        <v>69.586998036121869</v>
      </c>
      <c r="F17" t="s">
        <v>39</v>
      </c>
      <c r="H17" s="17"/>
      <c r="I17" s="305">
        <f ca="1">+$B$26</f>
        <v>9.0206204187721462E-2</v>
      </c>
      <c r="K17" s="19"/>
      <c r="L17" s="17"/>
    </row>
    <row r="18" spans="1:15">
      <c r="A18" t="s">
        <v>31</v>
      </c>
      <c r="B18" s="204">
        <v>355.42</v>
      </c>
      <c r="C18" s="12"/>
      <c r="F18" t="s">
        <v>40</v>
      </c>
      <c r="H18" s="207"/>
      <c r="I18" s="309">
        <v>2.5000000000000001E-2</v>
      </c>
      <c r="K18" s="19"/>
      <c r="L18" s="17"/>
    </row>
    <row r="19" spans="1:15">
      <c r="C19" s="12"/>
      <c r="D19" s="117"/>
      <c r="F19" s="2" t="s">
        <v>47</v>
      </c>
      <c r="G19" s="2"/>
      <c r="H19" s="2"/>
      <c r="I19" s="307">
        <f ca="1">+I18+I17</f>
        <v>0.11520620418772146</v>
      </c>
      <c r="K19" s="19"/>
    </row>
    <row r="20" spans="1:15">
      <c r="A20" t="s">
        <v>17</v>
      </c>
      <c r="B20" s="6">
        <f ca="1">+B18*B17</f>
        <v>24732.610841998438</v>
      </c>
      <c r="C20" s="12">
        <f ca="1">+B20/SUM($B$20:$B$22)</f>
        <v>0.68346010229784249</v>
      </c>
      <c r="K20" s="19"/>
      <c r="L20" s="21"/>
    </row>
    <row r="21" spans="1:15">
      <c r="A21" t="s">
        <v>32</v>
      </c>
      <c r="B21" s="205">
        <v>0</v>
      </c>
      <c r="C21" s="12">
        <f ca="1">+B21/SUM($B$20:$B$22)</f>
        <v>0</v>
      </c>
      <c r="F21" s="249" t="s">
        <v>164</v>
      </c>
      <c r="G21" s="250"/>
      <c r="H21" s="250"/>
      <c r="I21" s="250"/>
      <c r="J21" s="250"/>
      <c r="K21" s="19"/>
      <c r="L21" s="21"/>
    </row>
    <row r="22" spans="1:15">
      <c r="A22" t="s">
        <v>33</v>
      </c>
      <c r="B22" s="136">
        <f ca="1">Model!AD222</f>
        <v>11454.740488160565</v>
      </c>
      <c r="C22" s="12">
        <f ca="1">+B22/SUM($B$20:$B$22)</f>
        <v>0.31653989770215757</v>
      </c>
      <c r="F22" s="96" t="s">
        <v>165</v>
      </c>
      <c r="G22" s="21"/>
      <c r="H22" s="21"/>
      <c r="I22" s="21"/>
      <c r="J22" s="22">
        <f>Model!AN228</f>
        <v>2</v>
      </c>
    </row>
    <row r="23" spans="1:15">
      <c r="F23" s="96" t="s">
        <v>166</v>
      </c>
      <c r="G23" s="21"/>
      <c r="H23" s="21"/>
      <c r="I23" s="21"/>
      <c r="J23" s="24">
        <f ca="1">IFERROR((-K58)/K57,0.1)</f>
        <v>0.32595314724336599</v>
      </c>
    </row>
    <row r="24" spans="1:15" ht="15.75" thickBot="1">
      <c r="A24" t="s">
        <v>8</v>
      </c>
      <c r="B24" s="188">
        <f ca="1">+(C20*B11)+(C21*B12)+(B16*C22)</f>
        <v>9.0206204187721462E-2</v>
      </c>
      <c r="C24" s="317"/>
      <c r="F24" s="96" t="s">
        <v>163</v>
      </c>
      <c r="G24" s="21"/>
      <c r="H24" s="21"/>
      <c r="I24" s="21"/>
      <c r="J24" s="123">
        <f ca="1">+J23*B16+C21*B12+(1-J23-C21)*B11</f>
        <v>8.9590812998964958E-2</v>
      </c>
    </row>
    <row r="25" spans="1:15" ht="15.75" thickBot="1">
      <c r="A25" t="s">
        <v>34</v>
      </c>
      <c r="B25" s="14"/>
    </row>
    <row r="26" spans="1:15">
      <c r="A26" t="s">
        <v>35</v>
      </c>
      <c r="B26" s="15">
        <f ca="1">+IF(ISBLANK(B25)=TRUE,B24,B25)</f>
        <v>9.0206204187721462E-2</v>
      </c>
    </row>
    <row r="28" spans="1:15">
      <c r="A28" s="249" t="s">
        <v>25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O28" s="275" t="s">
        <v>381</v>
      </c>
    </row>
    <row r="29" spans="1:15">
      <c r="A29" s="5" t="s">
        <v>8</v>
      </c>
      <c r="B29" s="122">
        <f ca="1">+B26</f>
        <v>9.0206204187721462E-2</v>
      </c>
      <c r="C29" s="122">
        <f ca="1">B29-($B$29-$K$29)/8</f>
        <v>9.0129280289126895E-2</v>
      </c>
      <c r="D29" s="122">
        <f t="shared" ref="D29:J29" ca="1" si="0">C29-($B$29-$K$29)/8</f>
        <v>9.0052356390532329E-2</v>
      </c>
      <c r="E29" s="122">
        <f t="shared" ca="1" si="0"/>
        <v>8.9975432491937762E-2</v>
      </c>
      <c r="F29" s="122">
        <f t="shared" ca="1" si="0"/>
        <v>8.9898508593343196E-2</v>
      </c>
      <c r="G29" s="122">
        <f t="shared" ca="1" si="0"/>
        <v>8.982158469474863E-2</v>
      </c>
      <c r="H29" s="122">
        <f t="shared" ca="1" si="0"/>
        <v>8.9744660796154063E-2</v>
      </c>
      <c r="I29" s="122">
        <f t="shared" ca="1" si="0"/>
        <v>8.9667736897559497E-2</v>
      </c>
      <c r="J29" s="122">
        <f t="shared" ca="1" si="0"/>
        <v>8.959081299896493E-2</v>
      </c>
      <c r="K29" s="29">
        <f ca="1">+J24</f>
        <v>8.9590812998964958E-2</v>
      </c>
      <c r="L29" s="122">
        <f ca="1">+K29</f>
        <v>8.9590812998964958E-2</v>
      </c>
    </row>
    <row r="30" spans="1:15">
      <c r="A30" s="5" t="s">
        <v>10</v>
      </c>
      <c r="B30" s="124">
        <v>0</v>
      </c>
      <c r="C30" s="21"/>
    </row>
    <row r="31" spans="1:15">
      <c r="A31" t="s">
        <v>352</v>
      </c>
      <c r="B31" s="206">
        <v>0.5</v>
      </c>
      <c r="C31" s="21"/>
    </row>
    <row r="32" spans="1:15">
      <c r="A32" s="253" t="s">
        <v>6</v>
      </c>
      <c r="B32" s="253">
        <v>0</v>
      </c>
      <c r="C32" s="253">
        <v>1</v>
      </c>
      <c r="D32" s="253">
        <f t="shared" ref="D32:M32" si="1">+C32+1</f>
        <v>2</v>
      </c>
      <c r="E32" s="253">
        <f t="shared" si="1"/>
        <v>3</v>
      </c>
      <c r="F32" s="253">
        <f t="shared" si="1"/>
        <v>4</v>
      </c>
      <c r="G32" s="253">
        <f t="shared" si="1"/>
        <v>5</v>
      </c>
      <c r="H32" s="253">
        <f t="shared" si="1"/>
        <v>6</v>
      </c>
      <c r="I32" s="253">
        <f t="shared" si="1"/>
        <v>7</v>
      </c>
      <c r="J32" s="253">
        <f t="shared" si="1"/>
        <v>8</v>
      </c>
      <c r="K32" s="253">
        <f t="shared" si="1"/>
        <v>9</v>
      </c>
      <c r="L32" s="253">
        <f t="shared" si="1"/>
        <v>10</v>
      </c>
      <c r="M32" s="253">
        <f t="shared" si="1"/>
        <v>11</v>
      </c>
    </row>
    <row r="33" spans="1:16353">
      <c r="A33" s="253" t="s">
        <v>5</v>
      </c>
      <c r="B33" s="253">
        <f>+C33-1</f>
        <v>2021</v>
      </c>
      <c r="C33" s="253">
        <f>+B7</f>
        <v>2022</v>
      </c>
      <c r="D33" s="253">
        <f>+C33+1</f>
        <v>2023</v>
      </c>
      <c r="E33" s="253">
        <f t="shared" ref="E33:L33" si="2">+D33+1</f>
        <v>2024</v>
      </c>
      <c r="F33" s="253">
        <f t="shared" si="2"/>
        <v>2025</v>
      </c>
      <c r="G33" s="253">
        <f>+F33+1</f>
        <v>2026</v>
      </c>
      <c r="H33" s="253">
        <f t="shared" si="2"/>
        <v>2027</v>
      </c>
      <c r="I33" s="253">
        <f t="shared" si="2"/>
        <v>2028</v>
      </c>
      <c r="J33" s="253">
        <f t="shared" si="2"/>
        <v>2029</v>
      </c>
      <c r="K33" s="253">
        <f t="shared" si="2"/>
        <v>2030</v>
      </c>
      <c r="L33" s="253">
        <f t="shared" si="2"/>
        <v>2031</v>
      </c>
      <c r="M33" s="253">
        <f>+L33+1</f>
        <v>2032</v>
      </c>
    </row>
    <row r="35" spans="1:16353">
      <c r="A35" t="s">
        <v>150</v>
      </c>
      <c r="B35" s="74">
        <f>+INDEX(Model!$A:$AQ,MATCH("Gross Revenue",Model!$A:$A,0),MATCH(DCF!B$33,Model!$3:$3,0))</f>
        <v>9716</v>
      </c>
      <c r="C35" s="74">
        <f>+INDEX(Model!$A:$AQ,MATCH("Gross Revenue",Model!$A:$A,0),MATCH(DCF!C$33,Model!$3:$3,0))</f>
        <v>11360.00536692594</v>
      </c>
      <c r="D35" s="74">
        <f ca="1">+INDEX(Model!$A:$AQ,MATCH("Gross Revenue",Model!$A:$A,0),MATCH(DCF!D$33,Model!$3:$3,0))</f>
        <v>12427.270705069401</v>
      </c>
      <c r="E35" s="74">
        <f ca="1">+INDEX(Model!$A:$AQ,MATCH("Gross Revenue",Model!$A:$A,0),MATCH(DCF!E$33,Model!$3:$3,0))</f>
        <v>13160.48127423294</v>
      </c>
      <c r="F35" s="74">
        <f ca="1">+INDEX(Model!$A:$AQ,MATCH("Gross Revenue",Model!$A:$A,0),MATCH(DCF!F$33,Model!$3:$3,0))</f>
        <v>13887.473110532126</v>
      </c>
      <c r="G35" s="74">
        <f ca="1">+INDEX(Model!$A:$AQ,MATCH("Gross Revenue",Model!$A:$A,0),MATCH(DCF!G$33,Model!$3:$3,0))</f>
        <v>14728.85075096219</v>
      </c>
      <c r="H35" s="74">
        <f ca="1">+INDEX(Model!$A:$AQ,MATCH("Gross Revenue",Model!$A:$A,0),MATCH(DCF!H$33,Model!$3:$3,0))</f>
        <v>15578.215814023868</v>
      </c>
      <c r="I35" s="74">
        <f ca="1">+INDEX(Model!$A:$AQ,MATCH("Gross Revenue",Model!$A:$A,0),MATCH(DCF!I$33,Model!$3:$3,0))</f>
        <v>16571.112078672115</v>
      </c>
      <c r="J35" s="74">
        <f ca="1">+INDEX(Model!$A:$AQ,MATCH("Gross Revenue",Model!$A:$A,0),MATCH(DCF!J$33,Model!$3:$3,0))</f>
        <v>17588.829574199968</v>
      </c>
      <c r="K35" s="74">
        <f ca="1">+INDEX(Model!$A:$AQ,MATCH("Gross Revenue",Model!$A:$A,0),MATCH(DCF!K$33,Model!$3:$3,0))</f>
        <v>18478.954343814177</v>
      </c>
      <c r="L35" s="74">
        <f ca="1">+INDEX(Model!$A:$AQ,MATCH("Gross Revenue",Model!$A:$A,0),MATCH(DCF!L$33,Model!$3:$3,0))</f>
        <v>19378.710886652909</v>
      </c>
      <c r="M35" s="105">
        <f ca="1">+L35*(1+$I$15)</f>
        <v>20056.965767685761</v>
      </c>
      <c r="N35" s="13"/>
      <c r="O35" s="311">
        <f t="shared" ref="O35:O37" ca="1" si="3">+(L35/B35)^(0.1)-1</f>
        <v>7.1479182680065145E-2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</row>
    <row r="36" spans="1:16353" s="13" customFormat="1">
      <c r="A36" s="89" t="s">
        <v>153</v>
      </c>
      <c r="B36" s="73"/>
      <c r="C36" s="75">
        <f t="shared" ref="C36:M36" si="4">IFERROR(C35/B35-1,"na")</f>
        <v>0.16920598671530862</v>
      </c>
      <c r="D36" s="75">
        <f t="shared" ca="1" si="4"/>
        <v>9.3949369183464304E-2</v>
      </c>
      <c r="E36" s="75">
        <f t="shared" ca="1" si="4"/>
        <v>5.9000128553121867E-2</v>
      </c>
      <c r="F36" s="75">
        <f t="shared" ca="1" si="4"/>
        <v>5.5240520551674166E-2</v>
      </c>
      <c r="G36" s="75">
        <f t="shared" ca="1" si="4"/>
        <v>6.0585365943353064E-2</v>
      </c>
      <c r="H36" s="75">
        <f t="shared" ca="1" si="4"/>
        <v>5.7666757401706459E-2</v>
      </c>
      <c r="I36" s="75">
        <f t="shared" ca="1" si="4"/>
        <v>6.3736199093763934E-2</v>
      </c>
      <c r="J36" s="75">
        <f t="shared" ca="1" si="4"/>
        <v>6.1415159748856585E-2</v>
      </c>
      <c r="K36" s="75">
        <f t="shared" ca="1" si="4"/>
        <v>5.0607390665714513E-2</v>
      </c>
      <c r="L36" s="75">
        <f t="shared" ca="1" si="4"/>
        <v>4.8690879694712086E-2</v>
      </c>
      <c r="M36" s="75">
        <f t="shared" ca="1" si="4"/>
        <v>3.499999999999992E-2</v>
      </c>
      <c r="N36"/>
      <c r="O36" s="310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</row>
    <row r="37" spans="1:16353">
      <c r="A37" t="s">
        <v>62</v>
      </c>
      <c r="B37" s="74">
        <f>+INDEX(Model!$A:$AQ,MATCH("EBITDA",Model!$A:$A,0),MATCH(DCF!B$33,Model!$3:$3,0))</f>
        <v>4260</v>
      </c>
      <c r="C37" s="74">
        <f>+INDEX(Model!$A:$AQ,MATCH("EBITDA",Model!$A:$A,0),MATCH(DCF!C$33,Model!$3:$3,0))</f>
        <v>5206.7002218911657</v>
      </c>
      <c r="D37" s="74">
        <f ca="1">+INDEX(Model!$A:$AQ,MATCH("EBITDA",Model!$A:$A,0),MATCH(DCF!D$33,Model!$3:$3,0))</f>
        <v>6062.2293740682062</v>
      </c>
      <c r="E37" s="74">
        <f ca="1">+INDEX(Model!$A:$AQ,MATCH("EBITDA",Model!$A:$A,0),MATCH(DCF!E$33,Model!$3:$3,0))</f>
        <v>6465.6580300805599</v>
      </c>
      <c r="F37" s="74">
        <f ca="1">+INDEX(Model!$A:$AQ,MATCH("EBITDA",Model!$A:$A,0),MATCH(DCF!F$33,Model!$3:$3,0))</f>
        <v>6891.791815632123</v>
      </c>
      <c r="G37" s="74">
        <f ca="1">+INDEX(Model!$A:$AQ,MATCH("EBITDA",Model!$A:$A,0),MATCH(DCF!G$33,Model!$3:$3,0))</f>
        <v>7376.7764664700653</v>
      </c>
      <c r="H37" s="74">
        <f ca="1">+INDEX(Model!$A:$AQ,MATCH("EBITDA",Model!$A:$A,0),MATCH(DCF!H$33,Model!$3:$3,0))</f>
        <v>7890.5348404976048</v>
      </c>
      <c r="I37" s="74">
        <f ca="1">+INDEX(Model!$A:$AQ,MATCH("EBITDA",Model!$A:$A,0),MATCH(DCF!I$33,Model!$3:$3,0))</f>
        <v>8476.7836319730504</v>
      </c>
      <c r="J37" s="74">
        <f ca="1">+INDEX(Model!$A:$AQ,MATCH("EBITDA",Model!$A:$A,0),MATCH(DCF!J$33,Model!$3:$3,0))</f>
        <v>9101.5931544655832</v>
      </c>
      <c r="K37" s="74">
        <f ca="1">+INDEX(Model!$A:$AQ,MATCH("EBITDA",Model!$A:$A,0),MATCH(DCF!K$33,Model!$3:$3,0))</f>
        <v>9709.7252897895778</v>
      </c>
      <c r="L37" s="74">
        <f ca="1">+INDEX(Model!$A:$AQ,MATCH("EBITDA",Model!$A:$A,0),MATCH(DCF!L$33,Model!$3:$3,0))</f>
        <v>10339.131972433273</v>
      </c>
      <c r="M37" s="105">
        <f ca="1">+L37*(1+$I$15)</f>
        <v>10701.001591468437</v>
      </c>
      <c r="N37" s="13"/>
      <c r="O37" s="311">
        <f t="shared" ca="1" si="3"/>
        <v>9.2716366672999539E-2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</row>
    <row r="38" spans="1:16353" s="13" customFormat="1">
      <c r="A38" s="89" t="s">
        <v>154</v>
      </c>
      <c r="B38" s="73"/>
      <c r="C38" s="75">
        <f t="shared" ref="C38:M38" si="5">IFERROR(C37/B37-1,"na")</f>
        <v>0.22223009903548485</v>
      </c>
      <c r="D38" s="75">
        <f t="shared" ca="1" si="5"/>
        <v>0.16431311881180233</v>
      </c>
      <c r="E38" s="75">
        <f t="shared" ca="1" si="5"/>
        <v>6.6547903604251557E-2</v>
      </c>
      <c r="F38" s="75">
        <f t="shared" ca="1" si="5"/>
        <v>6.5907257013754217E-2</v>
      </c>
      <c r="G38" s="75">
        <f t="shared" ca="1" si="5"/>
        <v>7.037134373935805E-2</v>
      </c>
      <c r="H38" s="75">
        <f t="shared" ca="1" si="5"/>
        <v>6.9645376454437136E-2</v>
      </c>
      <c r="I38" s="75">
        <f t="shared" ca="1" si="5"/>
        <v>7.4297725480732435E-2</v>
      </c>
      <c r="J38" s="75">
        <f t="shared" ca="1" si="5"/>
        <v>7.3708324951913706E-2</v>
      </c>
      <c r="K38" s="75">
        <f t="shared" ca="1" si="5"/>
        <v>6.6816009571425639E-2</v>
      </c>
      <c r="L38" s="75">
        <f t="shared" ca="1" si="5"/>
        <v>6.4822295570561517E-2</v>
      </c>
      <c r="M38" s="75">
        <f t="shared" ca="1" si="5"/>
        <v>3.499999999999992E-2</v>
      </c>
      <c r="N38"/>
      <c r="O38" s="31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</row>
    <row r="39" spans="1:16353">
      <c r="A39" s="89" t="s">
        <v>151</v>
      </c>
      <c r="B39" s="75">
        <f>IFERROR(B37/B35,"na")</f>
        <v>0.438452037875669</v>
      </c>
      <c r="C39" s="75">
        <f>IFERROR(C37/C35,"na")</f>
        <v>0.45833607060170944</v>
      </c>
      <c r="D39" s="75">
        <f t="shared" ref="D39:M39" ca="1" si="6">IFERROR(D37/D35,"na")</f>
        <v>0.48781663471732922</v>
      </c>
      <c r="E39" s="75">
        <f t="shared" ca="1" si="6"/>
        <v>0.49129343337464015</v>
      </c>
      <c r="F39" s="75">
        <f t="shared" ca="1" si="6"/>
        <v>0.49625959746452752</v>
      </c>
      <c r="G39" s="75">
        <f t="shared" ca="1" si="6"/>
        <v>0.50083856447443209</v>
      </c>
      <c r="H39" s="75">
        <f t="shared" ca="1" si="6"/>
        <v>0.50651081835664158</v>
      </c>
      <c r="I39" s="75">
        <f t="shared" ca="1" si="6"/>
        <v>0.5115398165029077</v>
      </c>
      <c r="J39" s="75">
        <f t="shared" ca="1" si="6"/>
        <v>0.51746440069077604</v>
      </c>
      <c r="K39" s="75">
        <f t="shared" ca="1" si="6"/>
        <v>0.52544776663945303</v>
      </c>
      <c r="L39" s="75">
        <f t="shared" ca="1" si="6"/>
        <v>0.5335304310440151</v>
      </c>
      <c r="M39" s="75">
        <f t="shared" ca="1" si="6"/>
        <v>0.53353043104401499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</row>
    <row r="40" spans="1:16353" s="13" customFormat="1">
      <c r="A40" t="s">
        <v>21</v>
      </c>
      <c r="B40" s="72">
        <f>+INDEX(Model!$A:$AQ,MATCH("EPS",Model!$A:$A,0),MATCH(DCF!B$33,Model!$3:$3,0))</f>
        <v>19.034016781795462</v>
      </c>
      <c r="C40" s="72">
        <f ca="1">+INDEX(Model!$A:$AQ,MATCH("EPS",Model!$A:$A,0),MATCH(DCF!C$33,Model!$3:$3,0))</f>
        <v>28.06020623511986</v>
      </c>
      <c r="D40" s="72">
        <f ca="1">+INDEX(Model!$A:$AQ,MATCH("EPS",Model!$A:$A,0),MATCH(DCF!D$33,Model!$3:$3,0))</f>
        <v>32.449858377614987</v>
      </c>
      <c r="E40" s="72">
        <f ca="1">+INDEX(Model!$A:$AQ,MATCH("EPS",Model!$A:$A,0),MATCH(DCF!E$33,Model!$3:$3,0))</f>
        <v>36.421077439385961</v>
      </c>
      <c r="F40" s="72">
        <f ca="1">+INDEX(Model!$A:$AQ,MATCH("EPS",Model!$A:$A,0),MATCH(DCF!F$33,Model!$3:$3,0))</f>
        <v>40.83490029203891</v>
      </c>
      <c r="G40" s="72">
        <f ca="1">+INDEX(Model!$A:$AQ,MATCH("EPS",Model!$A:$A,0),MATCH(DCF!G$33,Model!$3:$3,0))</f>
        <v>46.55147861323551</v>
      </c>
      <c r="H40" s="72">
        <f ca="1">+INDEX(Model!$A:$AQ,MATCH("EPS",Model!$A:$A,0),MATCH(DCF!H$33,Model!$3:$3,0))</f>
        <v>52.611366684695042</v>
      </c>
      <c r="I40" s="72">
        <f ca="1">+INDEX(Model!$A:$AQ,MATCH("EPS",Model!$A:$A,0),MATCH(DCF!I$33,Model!$3:$3,0))</f>
        <v>59.607641361660647</v>
      </c>
      <c r="J40" s="72">
        <f ca="1">+INDEX(Model!$A:$AQ,MATCH("EPS",Model!$A:$A,0),MATCH(DCF!J$33,Model!$3:$3,0))</f>
        <v>67.057124615446796</v>
      </c>
      <c r="K40" s="72">
        <f ca="1">+INDEX(Model!$A:$AQ,MATCH("EPS",Model!$A:$A,0),MATCH(DCF!K$33,Model!$3:$3,0))</f>
        <v>75.067795800774377</v>
      </c>
      <c r="L40" s="72">
        <f ca="1">+INDEX(Model!$A:$AQ,MATCH("EPS",Model!$A:$A,0),MATCH(DCF!L$33,Model!$3:$3,0))</f>
        <v>83.619306727694536</v>
      </c>
      <c r="M40" s="116">
        <f ca="1">+L40*(1+$I$15)</f>
        <v>86.545982463163838</v>
      </c>
      <c r="O40" s="311">
        <f ca="1">+(L40/B40)^(0.1)-1</f>
        <v>0.15951831128021987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</row>
    <row r="41" spans="1:16353" s="13" customFormat="1">
      <c r="A41" s="89" t="s">
        <v>23</v>
      </c>
      <c r="B41" s="314"/>
      <c r="C41" s="75">
        <f ca="1">IFERROR(C40/B40-1,"na")</f>
        <v>0.47421359121408568</v>
      </c>
      <c r="D41" s="75">
        <f ca="1">IFERROR(D40/C40-1,"na")</f>
        <v>0.15643691659689529</v>
      </c>
      <c r="E41" s="75">
        <f t="shared" ref="E41:M41" ca="1" si="7">IFERROR(E40/D40-1,"na")</f>
        <v>0.12238016621084724</v>
      </c>
      <c r="F41" s="75">
        <f t="shared" ca="1" si="7"/>
        <v>0.12118869519987929</v>
      </c>
      <c r="G41" s="75">
        <f t="shared" ca="1" si="7"/>
        <v>0.1399924642967989</v>
      </c>
      <c r="H41" s="75">
        <f t="shared" ca="1" si="7"/>
        <v>0.13017605996593606</v>
      </c>
      <c r="I41" s="75">
        <f t="shared" ca="1" si="7"/>
        <v>0.13298028767994086</v>
      </c>
      <c r="J41" s="75">
        <f t="shared" ca="1" si="7"/>
        <v>0.12497530658170986</v>
      </c>
      <c r="K41" s="75">
        <f t="shared" ca="1" si="7"/>
        <v>0.11946040381639489</v>
      </c>
      <c r="L41" s="75">
        <f t="shared" ca="1" si="7"/>
        <v>0.1139171709479172</v>
      </c>
      <c r="M41" s="75">
        <f t="shared" ca="1" si="7"/>
        <v>3.499999999999992E-2</v>
      </c>
      <c r="N41"/>
      <c r="O41" s="31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</row>
    <row r="42" spans="1:16353" ht="5.0999999999999996" customHeight="1">
      <c r="A42" s="8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6353">
      <c r="A43" t="s">
        <v>1</v>
      </c>
      <c r="B43" s="74">
        <f>+INDEX(Model!$A:$AQ,MATCH("EBIT",Model!$A:$A,0),MATCH(DCF!B$33,Model!$3:$3,0))</f>
        <v>2277</v>
      </c>
      <c r="C43" s="74">
        <f>+INDEX(Model!$A:$AQ,MATCH("EBIT",Model!$A:$A,0),MATCH(DCF!C$33,Model!$3:$3,0))</f>
        <v>3044.8882612157977</v>
      </c>
      <c r="D43" s="74">
        <f ca="1">+INDEX(Model!$A:$AQ,MATCH("EBIT",Model!$A:$A,0),MATCH(DCF!D$33,Model!$3:$3,0))</f>
        <v>3456.9405216887476</v>
      </c>
      <c r="E43" s="74">
        <f ca="1">+INDEX(Model!$A:$AQ,MATCH("EBIT",Model!$A:$A,0),MATCH(DCF!E$33,Model!$3:$3,0))</f>
        <v>3759.9609476355636</v>
      </c>
      <c r="F43" s="74">
        <f ca="1">+INDEX(Model!$A:$AQ,MATCH("EBIT",Model!$A:$A,0),MATCH(DCF!F$33,Model!$3:$3,0))</f>
        <v>4067.6859433072082</v>
      </c>
      <c r="G43" s="74">
        <f ca="1">+INDEX(Model!$A:$AQ,MATCH("EBIT",Model!$A:$A,0),MATCH(DCF!G$33,Model!$3:$3,0))</f>
        <v>4419.9173713473956</v>
      </c>
      <c r="H43" s="74">
        <f ca="1">+INDEX(Model!$A:$AQ,MATCH("EBIT",Model!$A:$A,0),MATCH(DCF!H$33,Model!$3:$3,0))</f>
        <v>4783.4325985160249</v>
      </c>
      <c r="I43" s="74">
        <f ca="1">+INDEX(Model!$A:$AQ,MATCH("EBIT",Model!$A:$A,0),MATCH(DCF!I$33,Model!$3:$3,0))</f>
        <v>5204.7274358571594</v>
      </c>
      <c r="J43" s="74">
        <f ca="1">+INDEX(Model!$A:$AQ,MATCH("EBIT",Model!$A:$A,0),MATCH(DCF!J$33,Model!$3:$3,0))</f>
        <v>5645.255536618246</v>
      </c>
      <c r="K43" s="74">
        <f ca="1">+INDEX(Model!$A:$AQ,MATCH("EBIT",Model!$A:$A,0),MATCH(DCF!K$33,Model!$3:$3,0))</f>
        <v>6051.9791769006515</v>
      </c>
      <c r="L43" s="74">
        <f ca="1">+INDEX(Model!$A:$AQ,MATCH("EBIT",Model!$A:$A,0),MATCH(DCF!L$33,Model!$3:$3,0))</f>
        <v>6472.4115273999641</v>
      </c>
      <c r="M43" s="105">
        <f ca="1">+L43*(1+$I$15)</f>
        <v>6698.9459308589621</v>
      </c>
    </row>
    <row r="44" spans="1:16353" s="13" customFormat="1">
      <c r="A44" s="89" t="s">
        <v>2</v>
      </c>
      <c r="B44" s="75">
        <f>-IFERROR(-INDEX(Model!$A:$AQ,MATCH("Current Tax Rate",Model!$A:$A,0),MATCH(DCF!B$33,Model!$3:$3,0))-INDEX(Model!$A:$AQ,MATCH("Deferred Tax Rate",Model!$A:$A,0),MATCH(DCF!B$33,Model!$3:$3,0)),"na")</f>
        <v>0.24918743228602386</v>
      </c>
      <c r="C44" s="75">
        <f>-IFERROR(-INDEX(Model!$A:$AQ,MATCH("Current Tax Rate",Model!$A:$A,0),MATCH(DCF!C$33,Model!$3:$3,0))-INDEX(Model!$A:$AQ,MATCH("Deferred Tax Rate",Model!$A:$A,0),MATCH(DCF!C$33,Model!$3:$3,0)),"na")</f>
        <v>0.24</v>
      </c>
      <c r="D44" s="75">
        <f>-IFERROR(-INDEX(Model!$A:$AQ,MATCH("Current Tax Rate",Model!$A:$A,0),MATCH(DCF!D$33,Model!$3:$3,0))-INDEX(Model!$A:$AQ,MATCH("Deferred Tax Rate",Model!$A:$A,0),MATCH(DCF!D$33,Model!$3:$3,0)),"na")</f>
        <v>0.25</v>
      </c>
      <c r="E44" s="75">
        <f ca="1">-IFERROR(-INDEX(Model!$A:$AQ,MATCH("Current Tax Rate",Model!$A:$A,0),MATCH(DCF!E$33,Model!$3:$3,0))-INDEX(Model!$A:$AQ,MATCH("Deferred Tax Rate",Model!$A:$A,0),MATCH(DCF!E$33,Model!$3:$3,0)),"na")</f>
        <v>0.25</v>
      </c>
      <c r="F44" s="75">
        <f ca="1">-IFERROR(-INDEX(Model!$A:$AQ,MATCH("Current Tax Rate",Model!$A:$A,0),MATCH(DCF!F$33,Model!$3:$3,0))-INDEX(Model!$A:$AQ,MATCH("Deferred Tax Rate",Model!$A:$A,0),MATCH(DCF!F$33,Model!$3:$3,0)),"na")</f>
        <v>0.25</v>
      </c>
      <c r="G44" s="75">
        <f ca="1">-IFERROR(-INDEX(Model!$A:$AQ,MATCH("Current Tax Rate",Model!$A:$A,0),MATCH(DCF!G$33,Model!$3:$3,0))-INDEX(Model!$A:$AQ,MATCH("Deferred Tax Rate",Model!$A:$A,0),MATCH(DCF!G$33,Model!$3:$3,0)),"na")</f>
        <v>0.25</v>
      </c>
      <c r="H44" s="75">
        <f ca="1">-IFERROR(-INDEX(Model!$A:$AQ,MATCH("Current Tax Rate",Model!$A:$A,0),MATCH(DCF!H$33,Model!$3:$3,0))-INDEX(Model!$A:$AQ,MATCH("Deferred Tax Rate",Model!$A:$A,0),MATCH(DCF!H$33,Model!$3:$3,0)),"na")</f>
        <v>0.25</v>
      </c>
      <c r="I44" s="75">
        <f ca="1">-IFERROR(-INDEX(Model!$A:$AQ,MATCH("Current Tax Rate",Model!$A:$A,0),MATCH(DCF!I$33,Model!$3:$3,0))-INDEX(Model!$A:$AQ,MATCH("Deferred Tax Rate",Model!$A:$A,0),MATCH(DCF!I$33,Model!$3:$3,0)),"na")</f>
        <v>0.25</v>
      </c>
      <c r="J44" s="75">
        <f ca="1">-IFERROR(-INDEX(Model!$A:$AQ,MATCH("Current Tax Rate",Model!$A:$A,0),MATCH(DCF!J$33,Model!$3:$3,0))-INDEX(Model!$A:$AQ,MATCH("Deferred Tax Rate",Model!$A:$A,0),MATCH(DCF!J$33,Model!$3:$3,0)),"na")</f>
        <v>0.25</v>
      </c>
      <c r="K44" s="75">
        <f ca="1">-IFERROR(-INDEX(Model!$A:$AQ,MATCH("Current Tax Rate",Model!$A:$A,0),MATCH(DCF!K$33,Model!$3:$3,0))-INDEX(Model!$A:$AQ,MATCH("Deferred Tax Rate",Model!$A:$A,0),MATCH(DCF!K$33,Model!$3:$3,0)),"na")</f>
        <v>0.25</v>
      </c>
      <c r="L44" s="75">
        <f ca="1">-IFERROR(-INDEX(Model!$A:$AQ,MATCH("Current Tax Rate",Model!$A:$A,0),MATCH(DCF!L$33,Model!$3:$3,0))-INDEX(Model!$A:$AQ,MATCH("Deferred Tax Rate",Model!$A:$A,0),MATCH(DCF!L$33,Model!$3:$3,0)),"na")</f>
        <v>0.25</v>
      </c>
      <c r="M44" s="75">
        <f ca="1">-IFERROR(-INDEX(Model!$A:$AQ,MATCH("Current Tax Rate",Model!$A:$A,0),MATCH(DCF!M$33,Model!$3:$3,0))-INDEX(Model!$A:$AQ,MATCH("Deferred Tax Rate",Model!$A:$A,0),MATCH(DCF!M$33,Model!$3:$3,0)),"na")</f>
        <v>0.25</v>
      </c>
      <c r="N44"/>
      <c r="O44" s="310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</row>
    <row r="45" spans="1:16353">
      <c r="A45" t="s">
        <v>3</v>
      </c>
      <c r="B45" s="100">
        <f t="shared" ref="B45" si="8">IFERROR(B43*(1-B44),0)</f>
        <v>1709.6002166847236</v>
      </c>
      <c r="C45" s="100">
        <f t="shared" ref="C45:L45" si="9">IFERROR(C43*(1-C44),0)</f>
        <v>2314.1150785240061</v>
      </c>
      <c r="D45" s="100">
        <f t="shared" ca="1" si="9"/>
        <v>2592.7053912665606</v>
      </c>
      <c r="E45" s="100">
        <f t="shared" ca="1" si="9"/>
        <v>2819.9707107266727</v>
      </c>
      <c r="F45" s="100">
        <f t="shared" ca="1" si="9"/>
        <v>3050.7644574804062</v>
      </c>
      <c r="G45" s="100">
        <f t="shared" ca="1" si="9"/>
        <v>3314.9380285105467</v>
      </c>
      <c r="H45" s="100">
        <f t="shared" ca="1" si="9"/>
        <v>3587.5744488870187</v>
      </c>
      <c r="I45" s="100">
        <f t="shared" ca="1" si="9"/>
        <v>3903.5455768928696</v>
      </c>
      <c r="J45" s="100">
        <f t="shared" ca="1" si="9"/>
        <v>4233.9416524636845</v>
      </c>
      <c r="K45" s="100">
        <f t="shared" ca="1" si="9"/>
        <v>4538.9843826754886</v>
      </c>
      <c r="L45" s="100">
        <f t="shared" ca="1" si="9"/>
        <v>4854.3086455499733</v>
      </c>
      <c r="M45" s="100">
        <f t="shared" ref="M45" ca="1" si="10">IFERROR(M43*(1-M44),0)</f>
        <v>5024.2094481442218</v>
      </c>
    </row>
    <row r="46" spans="1:16353">
      <c r="A46" s="17" t="s">
        <v>4</v>
      </c>
      <c r="B46" s="74">
        <f>INDEX(Model!$A:$AQ,MATCH("DD&amp;A",Model!$A:$A,0),MATCH(DCF!B$33,Model!$3:$3,0))</f>
        <v>1983</v>
      </c>
      <c r="C46" s="74">
        <f>INDEX(Model!$A:$AQ,MATCH("DD&amp;A",Model!$A:$A,0),MATCH(DCF!C$33,Model!$3:$3,0))</f>
        <v>2161.811960675368</v>
      </c>
      <c r="D46" s="74">
        <f>INDEX(Model!$A:$AQ,MATCH("DD&amp;A",Model!$A:$A,0),MATCH(DCF!D$33,Model!$3:$3,0))</f>
        <v>2605.2888523794586</v>
      </c>
      <c r="E46" s="74">
        <f ca="1">INDEX(Model!$A:$AQ,MATCH("DD&amp;A",Model!$A:$A,0),MATCH(DCF!E$33,Model!$3:$3,0))</f>
        <v>2705.6970824449963</v>
      </c>
      <c r="F46" s="74">
        <f ca="1">INDEX(Model!$A:$AQ,MATCH("DD&amp;A",Model!$A:$A,0),MATCH(DCF!F$33,Model!$3:$3,0))</f>
        <v>2824.1058723249148</v>
      </c>
      <c r="G46" s="74">
        <f ca="1">INDEX(Model!$A:$AQ,MATCH("DD&amp;A",Model!$A:$A,0),MATCH(DCF!G$33,Model!$3:$3,0))</f>
        <v>2956.8590951226702</v>
      </c>
      <c r="H46" s="74">
        <f ca="1">INDEX(Model!$A:$AQ,MATCH("DD&amp;A",Model!$A:$A,0),MATCH(DCF!H$33,Model!$3:$3,0))</f>
        <v>3107.1022419815799</v>
      </c>
      <c r="I46" s="74">
        <f ca="1">INDEX(Model!$A:$AQ,MATCH("DD&amp;A",Model!$A:$A,0),MATCH(DCF!I$33,Model!$3:$3,0))</f>
        <v>3272.0561961158915</v>
      </c>
      <c r="J46" s="74">
        <f ca="1">INDEX(Model!$A:$AQ,MATCH("DD&amp;A",Model!$A:$A,0),MATCH(DCF!J$33,Model!$3:$3,0))</f>
        <v>3456.3376178473372</v>
      </c>
      <c r="K46" s="74">
        <f ca="1">INDEX(Model!$A:$AQ,MATCH("DD&amp;A",Model!$A:$A,0),MATCH(DCF!K$33,Model!$3:$3,0))</f>
        <v>3657.7461128889263</v>
      </c>
      <c r="L46" s="74">
        <f ca="1">INDEX(Model!$A:$AQ,MATCH("DD&amp;A",Model!$A:$A,0),MATCH(DCF!L$33,Model!$3:$3,0))</f>
        <v>3866.7204450333093</v>
      </c>
      <c r="M46" s="74">
        <f ca="1">INDEX(Model!$A:$AQ,MATCH("DD&amp;A",Model!$A:$A,0),MATCH(DCF!M$33,Model!$3:$3,0))</f>
        <v>4082.335259958697</v>
      </c>
    </row>
    <row r="47" spans="1:16353">
      <c r="A47" s="17" t="s">
        <v>152</v>
      </c>
      <c r="B47" s="74">
        <f>+INDEX(Model!$A:$AQ,MATCH("Capex",Model!$A:$A,0),MATCH(DCF!B$33,Model!$3:$3,0))+INDEX(Model!$A:$AQ,MATCH("M&amp;A",Model!$A:$A,0),MATCH(DCF!B$33,Model!$3:$3,0))+INDEX(Model!$A:$AQ,MATCH("Asset Disposals",Model!$A:$A,0),MATCH(DCF!B$33,Model!$3:$3,0))</f>
        <v>-3636</v>
      </c>
      <c r="C47" s="74">
        <f>+INDEX(Model!$A:$AQ,MATCH("Capex",Model!$A:$A,0),MATCH(DCF!C$33,Model!$3:$3,0))+INDEX(Model!$A:$AQ,MATCH("M&amp;A",Model!$A:$A,0),MATCH(DCF!C$33,Model!$3:$3,0))+INDEX(Model!$A:$AQ,MATCH("Asset Disposals",Model!$A:$A,0),MATCH(DCF!C$33,Model!$3:$3,0))</f>
        <v>-4351.2015832431516</v>
      </c>
      <c r="D47" s="74">
        <f ca="1">+INDEX(Model!$A:$AQ,MATCH("Capex",Model!$A:$A,0),MATCH(DCF!D$33,Model!$3:$3,0))+INDEX(Model!$A:$AQ,MATCH("M&amp;A",Model!$A:$A,0),MATCH(DCF!D$33,Model!$3:$3,0))+INDEX(Model!$A:$AQ,MATCH("Asset Disposals",Model!$A:$A,0),MATCH(DCF!D$33,Model!$3:$3,0))</f>
        <v>-2881.0797979954732</v>
      </c>
      <c r="E47" s="74">
        <f ca="1">+INDEX(Model!$A:$AQ,MATCH("Capex",Model!$A:$A,0),MATCH(DCF!E$33,Model!$3:$3,0))+INDEX(Model!$A:$AQ,MATCH("M&amp;A",Model!$A:$A,0),MATCH(DCF!E$33,Model!$3:$3,0))+INDEX(Model!$A:$AQ,MATCH("Asset Disposals",Model!$A:$A,0),MATCH(DCF!E$33,Model!$3:$3,0))</f>
        <v>-3073.8279640987171</v>
      </c>
      <c r="F47" s="74">
        <f ca="1">+INDEX(Model!$A:$AQ,MATCH("Capex",Model!$A:$A,0),MATCH(DCF!F$33,Model!$3:$3,0))+INDEX(Model!$A:$AQ,MATCH("M&amp;A",Model!$A:$A,0),MATCH(DCF!F$33,Model!$3:$3,0))+INDEX(Model!$A:$AQ,MATCH("Asset Disposals",Model!$A:$A,0),MATCH(DCF!F$33,Model!$3:$3,0))</f>
        <v>-3264.0351354529766</v>
      </c>
      <c r="G47" s="74">
        <f ca="1">+INDEX(Model!$A:$AQ,MATCH("Capex",Model!$A:$A,0),MATCH(DCF!G$33,Model!$3:$3,0))+INDEX(Model!$A:$AQ,MATCH("M&amp;A",Model!$A:$A,0),MATCH(DCF!G$33,Model!$3:$3,0))+INDEX(Model!$A:$AQ,MATCH("Asset Disposals",Model!$A:$A,0),MATCH(DCF!G$33,Model!$3:$3,0))</f>
        <v>-3487.2584564152257</v>
      </c>
      <c r="H47" s="74">
        <f ca="1">+INDEX(Model!$A:$AQ,MATCH("Capex",Model!$A:$A,0),MATCH(DCF!H$33,Model!$3:$3,0))+INDEX(Model!$A:$AQ,MATCH("M&amp;A",Model!$A:$A,0),MATCH(DCF!H$33,Model!$3:$3,0))+INDEX(Model!$A:$AQ,MATCH("Asset Disposals",Model!$A:$A,0),MATCH(DCF!H$33,Model!$3:$3,0))</f>
        <v>-3712.088574564862</v>
      </c>
      <c r="I47" s="74">
        <f ca="1">+INDEX(Model!$A:$AQ,MATCH("Capex",Model!$A:$A,0),MATCH(DCF!I$33,Model!$3:$3,0))+INDEX(Model!$A:$AQ,MATCH("M&amp;A",Model!$A:$A,0),MATCH(DCF!I$33,Model!$3:$3,0))+INDEX(Model!$A:$AQ,MATCH("Asset Disposals",Model!$A:$A,0),MATCH(DCF!I$33,Model!$3:$3,0))</f>
        <v>-3978.4884199189296</v>
      </c>
      <c r="J47" s="74">
        <f ca="1">+INDEX(Model!$A:$AQ,MATCH("Capex",Model!$A:$A,0),MATCH(DCF!J$33,Model!$3:$3,0))+INDEX(Model!$A:$AQ,MATCH("M&amp;A",Model!$A:$A,0),MATCH(DCF!J$33,Model!$3:$3,0))+INDEX(Model!$A:$AQ,MATCH("Asset Disposals",Model!$A:$A,0),MATCH(DCF!J$33,Model!$3:$3,0))</f>
        <v>-4251.4153918009661</v>
      </c>
      <c r="K47" s="74">
        <f ca="1">+INDEX(Model!$A:$AQ,MATCH("Capex",Model!$A:$A,0),MATCH(DCF!K$33,Model!$3:$3,0))+INDEX(Model!$A:$AQ,MATCH("M&amp;A",Model!$A:$A,0),MATCH(DCF!K$33,Model!$3:$3,0))+INDEX(Model!$A:$AQ,MATCH("Asset Disposals",Model!$A:$A,0),MATCH(DCF!K$33,Model!$3:$3,0))</f>
        <v>-4485.8835188595167</v>
      </c>
      <c r="L47" s="74">
        <f ca="1">+INDEX(Model!$A:$AQ,MATCH("Capex",Model!$A:$A,0),MATCH(DCF!L$33,Model!$3:$3,0))+INDEX(Model!$A:$AQ,MATCH("M&amp;A",Model!$A:$A,0),MATCH(DCF!L$33,Model!$3:$3,0))+INDEX(Model!$A:$AQ,MATCH("Asset Disposals",Model!$A:$A,0),MATCH(DCF!L$33,Model!$3:$3,0))</f>
        <v>-4722.3494586199722</v>
      </c>
      <c r="M47" s="91">
        <f ca="1">(M45*-$I$16)-M46-M48</f>
        <v>-5590.5080055590206</v>
      </c>
    </row>
    <row r="48" spans="1:16353">
      <c r="A48" s="17" t="s">
        <v>87</v>
      </c>
      <c r="B48" s="74">
        <f>+INDEX(Model!$A:$AQ,MATCH("Change in NWC",Model!$A:$A,0),MATCH(DCF!B$33,Model!$3:$3,0))</f>
        <v>351</v>
      </c>
      <c r="C48" s="74">
        <f>+INDEX(Model!$A:$AQ,MATCH("Change in NWC",Model!$A:$A,0),MATCH(DCF!C$33,Model!$3:$3,0))</f>
        <v>-8.0801502739263356</v>
      </c>
      <c r="D48" s="74">
        <f ca="1">+INDEX(Model!$A:$AQ,MATCH("Change in NWC",Model!$A:$A,0),MATCH(DCF!D$33,Model!$3:$3,0))</f>
        <v>-54.737970878155693</v>
      </c>
      <c r="E48" s="74">
        <f ca="1">+INDEX(Model!$A:$AQ,MATCH("Change in NWC",Model!$A:$A,0),MATCH(DCF!E$33,Model!$3:$3,0))</f>
        <v>-17.653358254409284</v>
      </c>
      <c r="F48" s="74">
        <f ca="1">+INDEX(Model!$A:$AQ,MATCH("Change in NWC",Model!$A:$A,0),MATCH(DCF!F$33,Model!$3:$3,0))</f>
        <v>-16.986981656521266</v>
      </c>
      <c r="G48" s="74">
        <f ca="1">+INDEX(Model!$A:$AQ,MATCH("Change in NWC",Model!$A:$A,0),MATCH(DCF!G$33,Model!$3:$3,0))</f>
        <v>-19.825499222400538</v>
      </c>
      <c r="H48" s="74">
        <f ca="1">+INDEX(Model!$A:$AQ,MATCH("Change in NWC",Model!$A:$A,0),MATCH(DCF!H$33,Model!$3:$3,0))</f>
        <v>-19.49926926079138</v>
      </c>
      <c r="I48" s="74">
        <f ca="1">+INDEX(Model!$A:$AQ,MATCH("Change in NWC",Model!$A:$A,0),MATCH(DCF!I$33,Model!$3:$3,0))</f>
        <v>-23.007797884149909</v>
      </c>
      <c r="J48" s="74">
        <f ca="1">+INDEX(Model!$A:$AQ,MATCH("Change in NWC",Model!$A:$A,0),MATCH(DCF!J$33,Model!$3:$3,0))</f>
        <v>-23.047977238728663</v>
      </c>
      <c r="K48" s="74">
        <f ca="1">+INDEX(Model!$A:$AQ,MATCH("Change in NWC",Model!$A:$A,0),MATCH(DCF!K$33,Model!$3:$3,0))</f>
        <v>-18.84324111113142</v>
      </c>
      <c r="L48" s="74">
        <f ca="1">+INDEX(Model!$A:$AQ,MATCH("Change in NWC",Model!$A:$A,0),MATCH(DCF!L$33,Model!$3:$3,0))</f>
        <v>-18.519284078609019</v>
      </c>
      <c r="M48" s="74">
        <f ca="1">+INDEX(Model!$A:$AQ,MATCH("Change in NWC",Model!$A:$A,0),MATCH(DCF!M$33,Model!$3:$3,0))</f>
        <v>-18.197573818544697</v>
      </c>
    </row>
    <row r="49" spans="1:16353">
      <c r="A49" s="17" t="s">
        <v>72</v>
      </c>
      <c r="B49" s="74">
        <f>+INDEX(Model!$A:$AQ,MATCH("Deferred taxes",Model!$A:$A,0),MATCH(DCF!B$33,Model!$3:$3,0))</f>
        <v>268</v>
      </c>
      <c r="C49" s="74">
        <f ca="1">+INDEX(Model!$A:$AQ,MATCH("Deferred taxes",Model!$A:$A,0),MATCH(DCF!C$33,Model!$3:$3,0))</f>
        <v>231.23196902089663</v>
      </c>
      <c r="D49" s="74">
        <f ca="1">+INDEX(Model!$A:$AQ,MATCH("Deferred taxes",Model!$A:$A,0),MATCH(DCF!D$33,Model!$3:$3,0))</f>
        <v>435.27847648606343</v>
      </c>
      <c r="E49" s="74">
        <f ca="1">+INDEX(Model!$A:$AQ,MATCH("Deferred taxes",Model!$A:$A,0),MATCH(DCF!E$33,Model!$3:$3,0))</f>
        <v>377.80531398907243</v>
      </c>
      <c r="F49" s="74">
        <f ca="1">+INDEX(Model!$A:$AQ,MATCH("Deferred taxes",Model!$A:$A,0),MATCH(DCF!F$33,Model!$3:$3,0))</f>
        <v>307.94536684103463</v>
      </c>
      <c r="G49" s="74">
        <f ca="1">+INDEX(Model!$A:$AQ,MATCH("Deferred taxes",Model!$A:$A,0),MATCH(DCF!G$33,Model!$3:$3,0))</f>
        <v>224.17232147844527</v>
      </c>
      <c r="H49" s="74">
        <f ca="1">+INDEX(Model!$A:$AQ,MATCH("Deferred taxes",Model!$A:$A,0),MATCH(DCF!H$33,Model!$3:$3,0))</f>
        <v>121.76197769555677</v>
      </c>
      <c r="I49" s="74">
        <f ca="1">+INDEX(Model!$A:$AQ,MATCH("Deferred taxes",Model!$A:$A,0),MATCH(DCF!I$33,Model!$3:$3,0))</f>
        <v>0</v>
      </c>
      <c r="J49" s="74">
        <f ca="1">+INDEX(Model!$A:$AQ,MATCH("Deferred taxes",Model!$A:$A,0),MATCH(DCF!J$33,Model!$3:$3,0))</f>
        <v>0</v>
      </c>
      <c r="K49" s="74">
        <f ca="1">+INDEX(Model!$A:$AQ,MATCH("Deferred taxes",Model!$A:$A,0),MATCH(DCF!K$33,Model!$3:$3,0))</f>
        <v>0</v>
      </c>
      <c r="L49" s="74">
        <f ca="1">+INDEX(Model!$A:$AQ,MATCH("Deferred taxes",Model!$A:$A,0),MATCH(DCF!L$33,Model!$3:$3,0))</f>
        <v>0</v>
      </c>
      <c r="M49" s="74">
        <f ca="1">+INDEX(Model!$A:$AQ,MATCH("Deferred taxes",Model!$A:$A,0),MATCH(DCF!M$33,Model!$3:$3,0))</f>
        <v>0</v>
      </c>
    </row>
    <row r="50" spans="1:16353">
      <c r="A50" s="2" t="s">
        <v>7</v>
      </c>
      <c r="B50" s="7">
        <f>SUM(B45:B49)</f>
        <v>675.60021668472382</v>
      </c>
      <c r="C50" s="7">
        <f ca="1">SUM(C45:C49)</f>
        <v>347.87727470319282</v>
      </c>
      <c r="D50" s="7">
        <f t="shared" ref="D50:K50" ca="1" si="11">SUM(D45:D49)</f>
        <v>2697.4549512584535</v>
      </c>
      <c r="E50" s="7">
        <f t="shared" ca="1" si="11"/>
        <v>2811.9917848076157</v>
      </c>
      <c r="F50" s="7">
        <f t="shared" ca="1" si="11"/>
        <v>2901.7935795368571</v>
      </c>
      <c r="G50" s="7">
        <f t="shared" ca="1" si="11"/>
        <v>2988.8854894740357</v>
      </c>
      <c r="H50" s="7">
        <f t="shared" ca="1" si="11"/>
        <v>3084.8508247385021</v>
      </c>
      <c r="I50" s="7">
        <f t="shared" ca="1" si="11"/>
        <v>3174.105555205681</v>
      </c>
      <c r="J50" s="7">
        <f t="shared" ca="1" si="11"/>
        <v>3415.8159012713268</v>
      </c>
      <c r="K50" s="7">
        <f t="shared" ca="1" si="11"/>
        <v>3692.0037355937657</v>
      </c>
      <c r="L50" s="7">
        <f ca="1">SUM(L45:L49)</f>
        <v>3980.1603478847014</v>
      </c>
      <c r="M50" s="7">
        <f ca="1">SUM(M45:M49)</f>
        <v>3497.8391287253544</v>
      </c>
      <c r="N50" s="13"/>
      <c r="O50" s="3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  <c r="XCM50" s="13"/>
      <c r="XCN50" s="13"/>
      <c r="XCO50" s="13"/>
      <c r="XCP50" s="13"/>
      <c r="XCQ50" s="13"/>
      <c r="XCR50" s="13"/>
      <c r="XCS50" s="13"/>
      <c r="XCT50" s="13"/>
      <c r="XCU50" s="13"/>
      <c r="XCV50" s="13"/>
      <c r="XCW50" s="13"/>
      <c r="XCX50" s="13"/>
      <c r="XCY50" s="13"/>
      <c r="XCZ50" s="13"/>
      <c r="XDA50" s="13"/>
      <c r="XDB50" s="13"/>
      <c r="XDC50" s="13"/>
      <c r="XDD50" s="13"/>
      <c r="XDE50" s="13"/>
      <c r="XDF50" s="13"/>
      <c r="XDG50" s="13"/>
      <c r="XDH50" s="13"/>
      <c r="XDI50" s="13"/>
      <c r="XDJ50" s="13"/>
      <c r="XDK50" s="13"/>
      <c r="XDL50" s="13"/>
      <c r="XDM50" s="13"/>
      <c r="XDN50" s="13"/>
      <c r="XDO50" s="13"/>
      <c r="XDP50" s="13"/>
      <c r="XDQ50" s="13"/>
      <c r="XDR50" s="13"/>
      <c r="XDS50" s="13"/>
      <c r="XDT50" s="13"/>
      <c r="XDU50" s="13"/>
      <c r="XDV50" s="13"/>
      <c r="XDW50" s="13"/>
      <c r="XDX50" s="13"/>
      <c r="XDY50" s="13"/>
    </row>
    <row r="51" spans="1:16353" s="13" customFormat="1">
      <c r="A51" s="13" t="s">
        <v>24</v>
      </c>
      <c r="D51" s="90">
        <f ca="1">IFERROR(D50/C50-1,"na")</f>
        <v>6.7540418630676831</v>
      </c>
      <c r="E51" s="90">
        <f t="shared" ref="E51:M51" ca="1" si="12">IFERROR(E50/D50-1,"na")</f>
        <v>4.2461073722742659E-2</v>
      </c>
      <c r="F51" s="90">
        <f t="shared" ca="1" si="12"/>
        <v>3.193529768273673E-2</v>
      </c>
      <c r="G51" s="90">
        <f t="shared" ca="1" si="12"/>
        <v>3.0013130689702239E-2</v>
      </c>
      <c r="H51" s="90">
        <f t="shared" ca="1" si="12"/>
        <v>3.210739775827065E-2</v>
      </c>
      <c r="I51" s="90">
        <f t="shared" ca="1" si="12"/>
        <v>2.8933240386022518E-2</v>
      </c>
      <c r="J51" s="90">
        <f t="shared" ca="1" si="12"/>
        <v>7.6150695640612609E-2</v>
      </c>
      <c r="K51" s="90">
        <f t="shared" ca="1" si="12"/>
        <v>8.0855597112140964E-2</v>
      </c>
      <c r="L51" s="90">
        <f ca="1">IFERROR(L50/K50-1,"na")</f>
        <v>7.8048840935041275E-2</v>
      </c>
      <c r="M51" s="90">
        <f t="shared" ca="1" si="12"/>
        <v>-0.12118135376522754</v>
      </c>
      <c r="N51"/>
      <c r="O51" s="310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</row>
    <row r="52" spans="1:16353" ht="5.0999999999999996" customHeight="1"/>
    <row r="53" spans="1:16353">
      <c r="A53" t="s">
        <v>22</v>
      </c>
      <c r="C53" s="6">
        <f ca="1">+C50</f>
        <v>347.87727470319282</v>
      </c>
      <c r="D53" s="6">
        <f t="shared" ref="D53:K53" ca="1" si="13">+D50</f>
        <v>2697.4549512584535</v>
      </c>
      <c r="E53" s="6">
        <f t="shared" ca="1" si="13"/>
        <v>2811.9917848076157</v>
      </c>
      <c r="F53" s="6">
        <f t="shared" ca="1" si="13"/>
        <v>2901.7935795368571</v>
      </c>
      <c r="G53" s="6">
        <f t="shared" ca="1" si="13"/>
        <v>2988.8854894740357</v>
      </c>
      <c r="H53" s="6">
        <f t="shared" ca="1" si="13"/>
        <v>3084.8508247385021</v>
      </c>
      <c r="I53" s="6">
        <f t="shared" ca="1" si="13"/>
        <v>3174.105555205681</v>
      </c>
      <c r="J53" s="6">
        <f t="shared" ca="1" si="13"/>
        <v>3415.8159012713268</v>
      </c>
      <c r="K53" s="6">
        <f t="shared" ca="1" si="13"/>
        <v>3692.0037355937657</v>
      </c>
      <c r="L53" s="6">
        <f ca="1">+L50+K57</f>
        <v>68053.929111718171</v>
      </c>
      <c r="M53" s="6"/>
    </row>
    <row r="54" spans="1:16353">
      <c r="A54" t="s">
        <v>9</v>
      </c>
      <c r="C54" s="4">
        <f t="shared" ref="C54:L54" ca="1" si="14">+(1+B$29)^(C$32-$B$30-$B$31)</f>
        <v>1.044129400116538</v>
      </c>
      <c r="D54" s="4">
        <f t="shared" ca="1" si="14"/>
        <v>1.1381958743509359</v>
      </c>
      <c r="E54" s="4">
        <f t="shared" ca="1" si="14"/>
        <v>1.240561774758169</v>
      </c>
      <c r="F54" s="4">
        <f t="shared" ca="1" si="14"/>
        <v>1.3519433143161979</v>
      </c>
      <c r="G54" s="4">
        <f t="shared" ca="1" si="14"/>
        <v>1.4731170711443897</v>
      </c>
      <c r="H54" s="4">
        <f t="shared" ca="1" si="14"/>
        <v>1.6049249492939344</v>
      </c>
      <c r="I54" s="4">
        <f t="shared" ca="1" si="14"/>
        <v>1.7482795362571377</v>
      </c>
      <c r="J54" s="4">
        <f t="shared" ca="1" si="14"/>
        <v>1.9041698879968896</v>
      </c>
      <c r="K54" s="4">
        <f t="shared" ca="1" si="14"/>
        <v>2.0736677746128334</v>
      </c>
      <c r="L54" s="4">
        <f t="shared" ca="1" si="14"/>
        <v>2.2594493564301512</v>
      </c>
      <c r="M54" s="4"/>
    </row>
    <row r="55" spans="1:16353">
      <c r="A55" t="s">
        <v>11</v>
      </c>
      <c r="C55" s="6">
        <f t="shared" ref="C55:L55" ca="1" si="15">+C53/C54</f>
        <v>333.17448456519406</v>
      </c>
      <c r="D55" s="6">
        <f t="shared" ca="1" si="15"/>
        <v>2369.9391396904298</v>
      </c>
      <c r="E55" s="6">
        <f t="shared" ca="1" si="15"/>
        <v>2266.7083913300294</v>
      </c>
      <c r="F55" s="6">
        <f t="shared" ca="1" si="15"/>
        <v>2146.3870184561406</v>
      </c>
      <c r="G55" s="6">
        <f t="shared" ca="1" si="15"/>
        <v>2028.9531280444144</v>
      </c>
      <c r="H55" s="6">
        <f t="shared" ca="1" si="15"/>
        <v>1922.1153151713677</v>
      </c>
      <c r="I55" s="6">
        <f t="shared" ca="1" si="15"/>
        <v>1815.5595197327941</v>
      </c>
      <c r="J55" s="6">
        <f t="shared" ca="1" si="15"/>
        <v>1793.8608959228045</v>
      </c>
      <c r="K55" s="6">
        <f t="shared" ca="1" si="15"/>
        <v>1780.4220043314729</v>
      </c>
      <c r="L55" s="6">
        <f t="shared" ca="1" si="15"/>
        <v>30119.696605743327</v>
      </c>
      <c r="M55" s="6"/>
    </row>
    <row r="56" spans="1:16353" ht="11.25" customHeight="1"/>
    <row r="57" spans="1:16353">
      <c r="A57" s="3" t="s">
        <v>12</v>
      </c>
      <c r="B57" s="78">
        <f ca="1">+SUM(C55:M55)</f>
        <v>46576.816502987975</v>
      </c>
      <c r="J57" s="9" t="s">
        <v>55</v>
      </c>
      <c r="K57" s="78">
        <f ca="1">(M50)/(K29-K67)</f>
        <v>64073.768763833461</v>
      </c>
    </row>
    <row r="58" spans="1:16353">
      <c r="A58" s="81" t="s">
        <v>13</v>
      </c>
      <c r="B58" s="79">
        <f ca="1">-Model!AD222</f>
        <v>-11454.740488160565</v>
      </c>
      <c r="J58" s="85" t="s">
        <v>13</v>
      </c>
      <c r="K58" s="77">
        <f ca="1">-Model!AM222</f>
        <v>-20885.046584315198</v>
      </c>
    </row>
    <row r="59" spans="1:16353">
      <c r="A59" s="81" t="s">
        <v>14</v>
      </c>
      <c r="B59" s="148">
        <v>0</v>
      </c>
      <c r="J59" s="85" t="s">
        <v>14</v>
      </c>
      <c r="K59" s="148">
        <v>0</v>
      </c>
    </row>
    <row r="60" spans="1:16353">
      <c r="A60" s="81" t="s">
        <v>15</v>
      </c>
      <c r="B60" s="148">
        <v>0</v>
      </c>
      <c r="J60" s="85" t="s">
        <v>15</v>
      </c>
      <c r="K60" s="148">
        <v>0</v>
      </c>
    </row>
    <row r="61" spans="1:16353">
      <c r="A61" s="82" t="s">
        <v>16</v>
      </c>
      <c r="B61" s="80">
        <f ca="1">Model!AD174</f>
        <v>425.12820051621247</v>
      </c>
      <c r="J61" s="86" t="s">
        <v>16</v>
      </c>
      <c r="K61" s="87">
        <f ca="1">Model!AM174</f>
        <v>12667.751068256424</v>
      </c>
    </row>
    <row r="62" spans="1:16353">
      <c r="A62" s="2" t="s">
        <v>17</v>
      </c>
      <c r="B62" s="84">
        <f ca="1">SUM(B57:B61)</f>
        <v>35547.204215343627</v>
      </c>
      <c r="C62" s="120"/>
      <c r="D62" s="8"/>
      <c r="E62" s="8"/>
      <c r="F62" s="8"/>
      <c r="G62" s="8"/>
      <c r="H62" s="8"/>
      <c r="I62" s="8"/>
      <c r="J62" s="10" t="s">
        <v>56</v>
      </c>
      <c r="K62" s="84">
        <f ca="1">+SUM(K57:K61)</f>
        <v>55856.473247774687</v>
      </c>
    </row>
    <row r="63" spans="1:16353" ht="15.75" thickBot="1">
      <c r="A63" s="83" t="s">
        <v>18</v>
      </c>
      <c r="B63" s="114">
        <f ca="1">B17</f>
        <v>69.586998036121869</v>
      </c>
      <c r="J63" s="86" t="s">
        <v>18</v>
      </c>
      <c r="K63" s="113">
        <f ca="1">+Model!AM131</f>
        <v>49.840358099481143</v>
      </c>
    </row>
    <row r="64" spans="1:16353" ht="15.75" thickBot="1">
      <c r="A64" s="254" t="s">
        <v>19</v>
      </c>
      <c r="B64" s="255">
        <f ca="1">+B62/B63</f>
        <v>510.83112102193934</v>
      </c>
      <c r="C64" s="8"/>
      <c r="D64" s="8"/>
      <c r="E64" s="8"/>
      <c r="F64" s="8"/>
      <c r="G64" s="8"/>
      <c r="H64" s="8"/>
      <c r="I64" s="8"/>
      <c r="J64" s="10" t="s">
        <v>20</v>
      </c>
      <c r="K64" s="11">
        <f ca="1">+K62/K63</f>
        <v>1120.7077031085009</v>
      </c>
    </row>
    <row r="65" spans="1:11">
      <c r="A65" s="285" t="s">
        <v>359</v>
      </c>
      <c r="B65" s="286">
        <f ca="1">+B18/B64-1</f>
        <v>-0.3042318970524599</v>
      </c>
      <c r="J65" s="9" t="s">
        <v>48</v>
      </c>
      <c r="K65" s="88">
        <f ca="1">IFERROR(K64/K66,"na")</f>
        <v>12.949274723243247</v>
      </c>
    </row>
    <row r="66" spans="1:11">
      <c r="A66" s="285" t="s">
        <v>360</v>
      </c>
      <c r="B66" s="286">
        <f ca="1">(K64/B18)^(1/10)-1</f>
        <v>0.12169568562100563</v>
      </c>
      <c r="J66" s="9" t="str">
        <f>$L$33+1&amp;" EPS (1Y Forward)"</f>
        <v>2032 EPS (1Y Forward)</v>
      </c>
      <c r="K66" s="72">
        <f ca="1">+M40</f>
        <v>86.545982463163838</v>
      </c>
    </row>
    <row r="67" spans="1:11">
      <c r="J67" s="9" t="s">
        <v>38</v>
      </c>
      <c r="K67" s="28">
        <f>+$I$15</f>
        <v>3.5000000000000003E-2</v>
      </c>
    </row>
    <row r="69" spans="1:11">
      <c r="B69" s="125"/>
      <c r="C69" s="125"/>
      <c r="D69" s="125"/>
      <c r="E69" s="125"/>
      <c r="F69" s="125"/>
      <c r="G69" s="125"/>
      <c r="H69" s="125"/>
      <c r="I69" s="125"/>
      <c r="J69" s="125"/>
      <c r="K69" s="19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1"/>
  <sheetViews>
    <sheetView workbookViewId="0"/>
  </sheetViews>
  <sheetFormatPr defaultRowHeight="15"/>
  <sheetData>
    <row r="1" spans="1:4">
      <c r="A1">
        <v>4</v>
      </c>
      <c r="B1" t="s">
        <v>170</v>
      </c>
      <c r="C1" t="s">
        <v>171</v>
      </c>
      <c r="D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6"/>
  <sheetViews>
    <sheetView zoomScale="85" zoomScaleNormal="85" workbookViewId="0">
      <selection activeCell="L22" sqref="L22"/>
    </sheetView>
  </sheetViews>
  <sheetFormatPr defaultRowHeight="15"/>
  <cols>
    <col min="1" max="1" width="28.42578125" bestFit="1" customWidth="1"/>
    <col min="2" max="10" width="7" bestFit="1" customWidth="1"/>
  </cols>
  <sheetData>
    <row r="1" spans="1:10">
      <c r="A1" s="249" t="s">
        <v>343</v>
      </c>
      <c r="B1" s="318"/>
      <c r="C1" s="292"/>
      <c r="D1" s="292"/>
      <c r="E1" s="292"/>
      <c r="F1" s="292"/>
      <c r="G1" s="292"/>
      <c r="H1" s="292"/>
      <c r="I1" s="292"/>
      <c r="J1" s="292"/>
    </row>
    <row r="2" spans="1:10">
      <c r="A2" s="227" t="s">
        <v>89</v>
      </c>
      <c r="B2" s="228">
        <v>100</v>
      </c>
      <c r="C2" s="226"/>
      <c r="D2" s="226"/>
      <c r="E2" s="226"/>
      <c r="F2" s="226"/>
      <c r="G2" s="226"/>
      <c r="H2" s="226"/>
      <c r="I2" s="226"/>
      <c r="J2" s="226"/>
    </row>
    <row r="3" spans="1:10">
      <c r="A3" s="227" t="s">
        <v>339</v>
      </c>
      <c r="B3" s="229">
        <f>+(1-B5)*B2/7</f>
        <v>12.714285714285714</v>
      </c>
      <c r="C3" s="226"/>
      <c r="D3" s="226"/>
      <c r="E3" s="226"/>
      <c r="F3" s="226"/>
      <c r="G3" s="226"/>
      <c r="H3" s="226"/>
      <c r="I3" s="226"/>
      <c r="J3" s="226"/>
    </row>
    <row r="4" spans="1:10">
      <c r="A4" s="227" t="s">
        <v>330</v>
      </c>
      <c r="B4" s="228">
        <v>7</v>
      </c>
      <c r="C4" s="226"/>
      <c r="D4" s="226"/>
      <c r="E4" s="226"/>
      <c r="F4" s="226"/>
      <c r="G4" s="226"/>
      <c r="H4" s="226"/>
      <c r="I4" s="226"/>
      <c r="J4" s="226"/>
    </row>
    <row r="5" spans="1:10">
      <c r="A5" s="227" t="s">
        <v>331</v>
      </c>
      <c r="B5" s="230">
        <v>0.11</v>
      </c>
      <c r="C5" s="226"/>
      <c r="D5" s="226"/>
      <c r="E5" s="226"/>
      <c r="F5" s="226"/>
      <c r="G5" s="226"/>
      <c r="H5" s="226"/>
      <c r="I5" s="226"/>
      <c r="J5" s="226"/>
    </row>
    <row r="6" spans="1:10">
      <c r="A6" s="231" t="s">
        <v>2</v>
      </c>
      <c r="B6" s="230">
        <f ca="1">+DCF!B15</f>
        <v>0.25</v>
      </c>
      <c r="C6" s="226"/>
      <c r="D6" s="226"/>
      <c r="E6" s="226"/>
      <c r="F6" s="226"/>
      <c r="G6" s="226"/>
      <c r="H6" s="226"/>
      <c r="I6" s="226"/>
      <c r="J6" s="226"/>
    </row>
    <row r="7" spans="1:10">
      <c r="A7" s="227" t="s">
        <v>63</v>
      </c>
      <c r="B7" s="230">
        <v>0.47</v>
      </c>
      <c r="C7" s="226"/>
      <c r="D7" s="226"/>
      <c r="E7" s="226"/>
      <c r="F7" s="226"/>
      <c r="G7" s="226"/>
      <c r="H7" s="226"/>
      <c r="I7" s="226"/>
      <c r="J7" s="226"/>
    </row>
    <row r="8" spans="1:10">
      <c r="A8" s="227" t="s">
        <v>340</v>
      </c>
      <c r="B8" s="230">
        <f>+AVERAGE(0.75,1.75)/100</f>
        <v>1.2500000000000001E-2</v>
      </c>
      <c r="C8" s="226"/>
      <c r="D8" s="226"/>
      <c r="E8" s="226"/>
      <c r="F8" s="226"/>
      <c r="G8" s="226"/>
      <c r="H8" s="226"/>
      <c r="I8" s="226"/>
      <c r="J8" s="226"/>
    </row>
    <row r="9" spans="1:10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>
      <c r="A10" s="249" t="s">
        <v>5</v>
      </c>
      <c r="B10" s="318"/>
      <c r="C10" s="292">
        <v>1</v>
      </c>
      <c r="D10" s="292">
        <f t="shared" ref="D10:I10" si="0">+C10+1</f>
        <v>2</v>
      </c>
      <c r="E10" s="292">
        <f t="shared" si="0"/>
        <v>3</v>
      </c>
      <c r="F10" s="292">
        <f t="shared" si="0"/>
        <v>4</v>
      </c>
      <c r="G10" s="292">
        <f t="shared" si="0"/>
        <v>5</v>
      </c>
      <c r="H10" s="292">
        <f t="shared" si="0"/>
        <v>6</v>
      </c>
      <c r="I10" s="292">
        <f t="shared" si="0"/>
        <v>7</v>
      </c>
      <c r="J10" s="292">
        <f>+I10+1</f>
        <v>8</v>
      </c>
    </row>
    <row r="11" spans="1:10">
      <c r="A11" s="227" t="s">
        <v>332</v>
      </c>
      <c r="B11" s="239"/>
      <c r="C11" s="233">
        <v>100</v>
      </c>
      <c r="D11" s="299">
        <f>+C25</f>
        <v>87.285714285714292</v>
      </c>
      <c r="E11" s="299">
        <f t="shared" ref="E11:I11" si="1">+D25</f>
        <v>74.571428571428584</v>
      </c>
      <c r="F11" s="299">
        <f t="shared" si="1"/>
        <v>61.857142857142868</v>
      </c>
      <c r="G11" s="299">
        <f t="shared" si="1"/>
        <v>49.142857142857153</v>
      </c>
      <c r="H11" s="299">
        <f t="shared" si="1"/>
        <v>36.428571428571438</v>
      </c>
      <c r="I11" s="299">
        <f t="shared" si="1"/>
        <v>23.714285714285722</v>
      </c>
      <c r="J11" s="233"/>
    </row>
    <row r="12" spans="1:10">
      <c r="A12" s="227" t="s">
        <v>62</v>
      </c>
      <c r="B12" s="239"/>
      <c r="C12" s="234">
        <f t="shared" ref="C12:I12" si="2">+C11*$B$7</f>
        <v>47</v>
      </c>
      <c r="D12" s="234">
        <f t="shared" si="2"/>
        <v>41.024285714285718</v>
      </c>
      <c r="E12" s="234">
        <f t="shared" si="2"/>
        <v>35.048571428571435</v>
      </c>
      <c r="F12" s="234">
        <f t="shared" si="2"/>
        <v>29.072857142857146</v>
      </c>
      <c r="G12" s="234">
        <f t="shared" si="2"/>
        <v>23.09714285714286</v>
      </c>
      <c r="H12" s="234">
        <f t="shared" si="2"/>
        <v>17.121428571428574</v>
      </c>
      <c r="I12" s="234">
        <f t="shared" si="2"/>
        <v>11.145714285714289</v>
      </c>
      <c r="J12" s="234"/>
    </row>
    <row r="13" spans="1:10">
      <c r="A13" s="232" t="s">
        <v>4</v>
      </c>
      <c r="B13" s="246"/>
      <c r="C13" s="248">
        <f>+$B$3</f>
        <v>12.714285714285714</v>
      </c>
      <c r="D13" s="248">
        <f t="shared" ref="D13:I13" si="3">+$B$3</f>
        <v>12.714285714285714</v>
      </c>
      <c r="E13" s="248">
        <f t="shared" si="3"/>
        <v>12.714285714285714</v>
      </c>
      <c r="F13" s="248">
        <f t="shared" si="3"/>
        <v>12.714285714285714</v>
      </c>
      <c r="G13" s="248">
        <f t="shared" si="3"/>
        <v>12.714285714285714</v>
      </c>
      <c r="H13" s="248">
        <f t="shared" si="3"/>
        <v>12.714285714285714</v>
      </c>
      <c r="I13" s="248">
        <f t="shared" si="3"/>
        <v>12.714285714285714</v>
      </c>
      <c r="J13" s="235"/>
    </row>
    <row r="14" spans="1:10">
      <c r="A14" s="231" t="s">
        <v>1</v>
      </c>
      <c r="B14" s="239"/>
      <c r="C14" s="236">
        <f>+C12-C13</f>
        <v>34.285714285714285</v>
      </c>
      <c r="D14" s="236">
        <f t="shared" ref="D14:I14" si="4">+D12-D13</f>
        <v>28.310000000000002</v>
      </c>
      <c r="E14" s="236">
        <f t="shared" si="4"/>
        <v>22.33428571428572</v>
      </c>
      <c r="F14" s="236">
        <f t="shared" si="4"/>
        <v>16.35857142857143</v>
      </c>
      <c r="G14" s="236">
        <f t="shared" si="4"/>
        <v>10.382857142857146</v>
      </c>
      <c r="H14" s="236">
        <f t="shared" si="4"/>
        <v>4.4071428571428601</v>
      </c>
      <c r="I14" s="236">
        <f t="shared" si="4"/>
        <v>-1.5685714285714241</v>
      </c>
      <c r="J14" s="236"/>
    </row>
    <row r="15" spans="1:10">
      <c r="A15" s="231" t="s">
        <v>126</v>
      </c>
      <c r="B15" s="239"/>
      <c r="C15" s="237">
        <f>+C14/C11</f>
        <v>0.34285714285714286</v>
      </c>
      <c r="D15" s="237">
        <f t="shared" ref="D15:I15" si="5">+D14/D11</f>
        <v>0.32433715220949266</v>
      </c>
      <c r="E15" s="237">
        <f t="shared" si="5"/>
        <v>0.29950191570881229</v>
      </c>
      <c r="F15" s="237">
        <f t="shared" si="5"/>
        <v>0.26445727482678982</v>
      </c>
      <c r="G15" s="237">
        <f t="shared" si="5"/>
        <v>0.21127906976744187</v>
      </c>
      <c r="H15" s="237">
        <f t="shared" si="5"/>
        <v>0.12098039215686279</v>
      </c>
      <c r="I15" s="237">
        <f t="shared" si="5"/>
        <v>-6.6144578313252794E-2</v>
      </c>
      <c r="J15" s="237"/>
    </row>
    <row r="16" spans="1:10">
      <c r="A16" s="231" t="s">
        <v>333</v>
      </c>
      <c r="B16" s="239"/>
      <c r="C16" s="240">
        <f t="shared" ref="C16:I16" ca="1" si="6">+$B$6*C14</f>
        <v>8.5714285714285712</v>
      </c>
      <c r="D16" s="240">
        <f t="shared" ca="1" si="6"/>
        <v>7.0775000000000006</v>
      </c>
      <c r="E16" s="240">
        <f t="shared" ca="1" si="6"/>
        <v>5.58357142857143</v>
      </c>
      <c r="F16" s="240">
        <f t="shared" ca="1" si="6"/>
        <v>4.0896428571428576</v>
      </c>
      <c r="G16" s="240">
        <f t="shared" ca="1" si="6"/>
        <v>2.5957142857142865</v>
      </c>
      <c r="H16" s="240">
        <f t="shared" ca="1" si="6"/>
        <v>1.101785714285715</v>
      </c>
      <c r="I16" s="240">
        <f t="shared" ca="1" si="6"/>
        <v>-0.39214285714285602</v>
      </c>
      <c r="J16" s="238"/>
    </row>
    <row r="17" spans="1:10">
      <c r="A17" s="231"/>
      <c r="B17" s="239"/>
      <c r="C17" s="239"/>
      <c r="D17" s="239"/>
      <c r="E17" s="239"/>
      <c r="F17" s="239"/>
      <c r="G17" s="239"/>
      <c r="H17" s="239"/>
      <c r="I17" s="239"/>
      <c r="J17" s="239"/>
    </row>
    <row r="18" spans="1:10">
      <c r="A18" s="231" t="s">
        <v>62</v>
      </c>
      <c r="B18" s="239"/>
      <c r="C18" s="240">
        <f t="shared" ref="C18:I18" si="7">+C12</f>
        <v>47</v>
      </c>
      <c r="D18" s="240">
        <f t="shared" si="7"/>
        <v>41.024285714285718</v>
      </c>
      <c r="E18" s="240">
        <f t="shared" si="7"/>
        <v>35.048571428571435</v>
      </c>
      <c r="F18" s="240">
        <f t="shared" si="7"/>
        <v>29.072857142857146</v>
      </c>
      <c r="G18" s="240">
        <f t="shared" si="7"/>
        <v>23.09714285714286</v>
      </c>
      <c r="H18" s="240">
        <f t="shared" si="7"/>
        <v>17.121428571428574</v>
      </c>
      <c r="I18" s="240">
        <f t="shared" si="7"/>
        <v>11.145714285714289</v>
      </c>
      <c r="J18" s="240"/>
    </row>
    <row r="19" spans="1:10">
      <c r="A19" s="231" t="s">
        <v>336</v>
      </c>
      <c r="B19" s="239"/>
      <c r="C19" s="240">
        <f ca="1">-C16</f>
        <v>-8.5714285714285712</v>
      </c>
      <c r="D19" s="240">
        <f t="shared" ref="D19:I19" ca="1" si="8">-D16</f>
        <v>-7.0775000000000006</v>
      </c>
      <c r="E19" s="240">
        <f t="shared" ca="1" si="8"/>
        <v>-5.58357142857143</v>
      </c>
      <c r="F19" s="240">
        <f t="shared" ca="1" si="8"/>
        <v>-4.0896428571428576</v>
      </c>
      <c r="G19" s="240">
        <f t="shared" ca="1" si="8"/>
        <v>-2.5957142857142865</v>
      </c>
      <c r="H19" s="240">
        <f t="shared" ca="1" si="8"/>
        <v>-1.101785714285715</v>
      </c>
      <c r="I19" s="240">
        <f t="shared" ca="1" si="8"/>
        <v>0.39214285714285602</v>
      </c>
      <c r="J19" s="240"/>
    </row>
    <row r="20" spans="1:10">
      <c r="A20" s="231" t="s">
        <v>337</v>
      </c>
      <c r="B20" s="239"/>
      <c r="C20" s="240">
        <f>-0.07*(C11)</f>
        <v>-7.0000000000000009</v>
      </c>
      <c r="D20" s="240">
        <f t="shared" ref="D20:I20" si="9">0.07*(D11-C11)</f>
        <v>-0.88999999999999968</v>
      </c>
      <c r="E20" s="240">
        <f t="shared" si="9"/>
        <v>-0.88999999999999968</v>
      </c>
      <c r="F20" s="240">
        <f t="shared" si="9"/>
        <v>-0.89000000000000012</v>
      </c>
      <c r="G20" s="240">
        <f t="shared" si="9"/>
        <v>-0.89000000000000012</v>
      </c>
      <c r="H20" s="240">
        <f t="shared" si="9"/>
        <v>-0.89000000000000012</v>
      </c>
      <c r="I20" s="240">
        <f t="shared" si="9"/>
        <v>-0.89000000000000012</v>
      </c>
      <c r="J20" s="240"/>
    </row>
    <row r="21" spans="1:10">
      <c r="A21" s="231" t="s">
        <v>338</v>
      </c>
      <c r="B21" s="239"/>
      <c r="C21" s="240">
        <f t="shared" ref="C21:I21" si="10">-C$11*$B$8</f>
        <v>-1.25</v>
      </c>
      <c r="D21" s="240">
        <f t="shared" si="10"/>
        <v>-1.0910714285714287</v>
      </c>
      <c r="E21" s="240">
        <f t="shared" si="10"/>
        <v>-0.93214285714285738</v>
      </c>
      <c r="F21" s="240">
        <f t="shared" si="10"/>
        <v>-0.77321428571428585</v>
      </c>
      <c r="G21" s="240">
        <f t="shared" si="10"/>
        <v>-0.61428571428571443</v>
      </c>
      <c r="H21" s="240">
        <f t="shared" si="10"/>
        <v>-0.45535714285714302</v>
      </c>
      <c r="I21" s="240">
        <f t="shared" si="10"/>
        <v>-0.29642857142857154</v>
      </c>
      <c r="J21" s="240"/>
    </row>
    <row r="22" spans="1:10">
      <c r="A22" s="232" t="s">
        <v>334</v>
      </c>
      <c r="B22" s="241">
        <f>-B2</f>
        <v>-100</v>
      </c>
      <c r="C22" s="241">
        <f t="shared" ref="C22:I22" ca="1" si="11">SUM(C18:C21)</f>
        <v>30.178571428571431</v>
      </c>
      <c r="D22" s="241">
        <f t="shared" ca="1" si="11"/>
        <v>31.965714285714288</v>
      </c>
      <c r="E22" s="241">
        <f t="shared" ca="1" si="11"/>
        <v>27.642857142857146</v>
      </c>
      <c r="F22" s="241">
        <f t="shared" ca="1" si="11"/>
        <v>23.320000000000004</v>
      </c>
      <c r="G22" s="241">
        <f t="shared" ca="1" si="11"/>
        <v>18.997142857142858</v>
      </c>
      <c r="H22" s="241">
        <f t="shared" ca="1" si="11"/>
        <v>14.674285714285716</v>
      </c>
      <c r="I22" s="241">
        <f t="shared" ca="1" si="11"/>
        <v>10.351428571428574</v>
      </c>
      <c r="J22" s="241">
        <f>I25*J26*0.25</f>
        <v>4.6750000000000034</v>
      </c>
    </row>
    <row r="23" spans="1:10">
      <c r="A23" s="231" t="s">
        <v>335</v>
      </c>
      <c r="B23" s="247">
        <f ca="1">+IRR(B22:J22)</f>
        <v>0.16203162981454722</v>
      </c>
      <c r="C23" s="242"/>
      <c r="D23" s="243"/>
      <c r="E23" s="243"/>
      <c r="F23" s="243"/>
      <c r="G23" s="243"/>
      <c r="H23" s="243"/>
      <c r="I23" s="243"/>
      <c r="J23" s="243"/>
    </row>
    <row r="24" spans="1:10">
      <c r="A24" s="231"/>
      <c r="B24" s="244"/>
      <c r="C24" s="244"/>
      <c r="D24" s="244"/>
      <c r="E24" s="244"/>
      <c r="F24" s="244"/>
      <c r="G24" s="244"/>
      <c r="H24" s="244"/>
      <c r="I24" s="244"/>
      <c r="J24" s="244"/>
    </row>
    <row r="25" spans="1:10">
      <c r="A25" s="231" t="s">
        <v>341</v>
      </c>
      <c r="B25" s="244"/>
      <c r="C25" s="236">
        <f>+$B$2-C13</f>
        <v>87.285714285714292</v>
      </c>
      <c r="D25" s="236">
        <f t="shared" ref="D25:I25" si="12">+C25-D13</f>
        <v>74.571428571428584</v>
      </c>
      <c r="E25" s="236">
        <f t="shared" si="12"/>
        <v>61.857142857142868</v>
      </c>
      <c r="F25" s="236">
        <f t="shared" si="12"/>
        <v>49.142857142857153</v>
      </c>
      <c r="G25" s="236">
        <f t="shared" si="12"/>
        <v>36.428571428571438</v>
      </c>
      <c r="H25" s="236">
        <f t="shared" si="12"/>
        <v>23.714285714285722</v>
      </c>
      <c r="I25" s="236">
        <f t="shared" si="12"/>
        <v>11.000000000000009</v>
      </c>
      <c r="J25" s="236">
        <v>0</v>
      </c>
    </row>
    <row r="26" spans="1:10">
      <c r="A26" s="231" t="s">
        <v>342</v>
      </c>
      <c r="B26" s="244"/>
      <c r="C26" s="236"/>
      <c r="D26" s="236"/>
      <c r="E26" s="236"/>
      <c r="F26" s="236"/>
      <c r="G26" s="236"/>
      <c r="H26" s="236"/>
      <c r="I26" s="245"/>
      <c r="J26" s="245">
        <v>1.7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2"/>
  <sheetViews>
    <sheetView workbookViewId="0">
      <selection activeCell="G19" sqref="F19:G20"/>
    </sheetView>
  </sheetViews>
  <sheetFormatPr defaultRowHeight="15"/>
  <cols>
    <col min="1" max="1" width="33.28515625" bestFit="1" customWidth="1"/>
    <col min="2" max="2" width="6.5703125" bestFit="1" customWidth="1"/>
    <col min="3" max="3" width="5.5703125" bestFit="1" customWidth="1"/>
    <col min="4" max="4" width="6.5703125" bestFit="1" customWidth="1"/>
    <col min="5" max="5" width="5.5703125" bestFit="1" customWidth="1"/>
  </cols>
  <sheetData>
    <row r="1" spans="1:5">
      <c r="A1" s="291" t="s">
        <v>362</v>
      </c>
      <c r="B1" s="292" t="str">
        <f>+Model!AQ3</f>
        <v>'12-21</v>
      </c>
      <c r="C1" s="292" t="s">
        <v>364</v>
      </c>
      <c r="D1" s="292" t="str">
        <f>+Model!AP3</f>
        <v>'21-31</v>
      </c>
      <c r="E1" s="292" t="s">
        <v>364</v>
      </c>
    </row>
    <row r="2" spans="1:5">
      <c r="A2" s="289" t="str">
        <f>+Model!E150</f>
        <v>Cash Flow from Operating Activities</v>
      </c>
      <c r="B2" s="290">
        <f>SUM(Model!T152:AC152)</f>
        <v>22601</v>
      </c>
      <c r="C2" s="293">
        <f>+B2/SUM($B$2:$B$4)</f>
        <v>0.69713140037014187</v>
      </c>
      <c r="D2" s="290">
        <f ca="1">SUM(Model!AD152:AM152)</f>
        <v>58631.332784911021</v>
      </c>
      <c r="E2" s="293">
        <f ca="1">+D2/SUM($D$2:$D$4)</f>
        <v>0.743996526670198</v>
      </c>
    </row>
    <row r="3" spans="1:5">
      <c r="A3" s="289" t="str">
        <f>+Model!E156</f>
        <v>Asset Disposals</v>
      </c>
      <c r="B3" s="290">
        <f>+SUM(Model!T156:AC156)</f>
        <v>6607</v>
      </c>
      <c r="C3" s="293">
        <f t="shared" ref="C3:C4" si="0">+B3/SUM($B$2:$B$4)</f>
        <v>0.20379395434916719</v>
      </c>
      <c r="D3" s="290">
        <f>+SUM(Model!AD156:AM156)</f>
        <v>8974.5433510304683</v>
      </c>
      <c r="E3" s="293">
        <f t="shared" ref="E3:E12" ca="1" si="1">+D3/SUM($D$2:$D$4)</f>
        <v>0.11388158454648237</v>
      </c>
    </row>
    <row r="4" spans="1:5">
      <c r="A4" s="294" t="str">
        <f>+Model!E162</f>
        <v>Change in debt</v>
      </c>
      <c r="B4" s="295">
        <f>+SUM(Model!T162:AC162)</f>
        <v>3212</v>
      </c>
      <c r="C4" s="296">
        <f t="shared" si="0"/>
        <v>9.9074645280690932E-2</v>
      </c>
      <c r="D4" s="295">
        <f ca="1">+SUM(Model!AD162:AM162)</f>
        <v>11200.046584315198</v>
      </c>
      <c r="E4" s="296">
        <f t="shared" ca="1" si="1"/>
        <v>0.14212188878331955</v>
      </c>
    </row>
    <row r="5" spans="1:5">
      <c r="A5" s="231" t="s">
        <v>365</v>
      </c>
      <c r="B5" s="297">
        <f>+SUM(B2:B4)</f>
        <v>32420</v>
      </c>
      <c r="C5" s="298">
        <f>SUM(C2:C4)</f>
        <v>1</v>
      </c>
      <c r="D5" s="297">
        <f ca="1">+SUM(D2:D4)</f>
        <v>78805.922720256698</v>
      </c>
      <c r="E5" s="298">
        <f t="shared" ca="1" si="1"/>
        <v>1</v>
      </c>
    </row>
    <row r="6" spans="1:5">
      <c r="A6" s="291" t="s">
        <v>363</v>
      </c>
      <c r="B6" s="292" t="str">
        <f>+B1</f>
        <v>'12-21</v>
      </c>
      <c r="C6" s="292" t="str">
        <f>+C1</f>
        <v>%</v>
      </c>
      <c r="D6" s="292" t="str">
        <f>+D1</f>
        <v>'21-31</v>
      </c>
      <c r="E6" s="292" t="str">
        <f>+E1</f>
        <v>%</v>
      </c>
    </row>
    <row r="7" spans="1:5">
      <c r="A7" s="290" t="str">
        <f>+Model!E155</f>
        <v>Capex</v>
      </c>
      <c r="B7" s="290">
        <f>-SUM(Model!T155:AC155)</f>
        <v>18735</v>
      </c>
      <c r="C7" s="293">
        <f t="shared" ref="C7:C12" si="2">+B7/$B$12</f>
        <v>0.57788402220851331</v>
      </c>
      <c r="D7" s="290">
        <f ca="1">-SUM(Model!AD155:AM155)</f>
        <v>45182.171652000252</v>
      </c>
      <c r="E7" s="293">
        <f t="shared" ca="1" si="1"/>
        <v>0.57333472018831377</v>
      </c>
    </row>
    <row r="8" spans="1:5">
      <c r="A8" s="290" t="str">
        <f>+Model!E157</f>
        <v>M&amp;A</v>
      </c>
      <c r="B8" s="290">
        <f>-SUM(Model!T157:AC157)</f>
        <v>9084</v>
      </c>
      <c r="C8" s="293">
        <f t="shared" si="2"/>
        <v>0.28019740900678591</v>
      </c>
      <c r="D8" s="290">
        <f>-SUM(Model!AD157:AM157)</f>
        <v>2000</v>
      </c>
      <c r="E8" s="293">
        <f t="shared" ca="1" si="1"/>
        <v>2.5378803152899435E-2</v>
      </c>
    </row>
    <row r="9" spans="1:5">
      <c r="A9" s="290" t="s">
        <v>366</v>
      </c>
      <c r="B9" s="290">
        <f>-SUM(Model!T164:AC164)</f>
        <v>4239</v>
      </c>
      <c r="C9" s="293">
        <f t="shared" si="2"/>
        <v>0.13075262183837139</v>
      </c>
      <c r="D9" s="290">
        <f>-SUM(Model!AD164:AM164)</f>
        <v>14100</v>
      </c>
      <c r="E9" s="293">
        <f t="shared" ca="1" si="1"/>
        <v>0.17892056222794103</v>
      </c>
    </row>
    <row r="10" spans="1:5">
      <c r="A10" s="290" t="s">
        <v>367</v>
      </c>
      <c r="B10" s="290">
        <f>-SUM(Model!T165:AC165)</f>
        <v>0</v>
      </c>
      <c r="C10" s="293">
        <f t="shared" si="2"/>
        <v>0</v>
      </c>
      <c r="D10" s="290">
        <f>-SUM(Model!AD165:AM165)</f>
        <v>5000</v>
      </c>
      <c r="E10" s="293">
        <f t="shared" ca="1" si="1"/>
        <v>6.3447007882248593E-2</v>
      </c>
    </row>
    <row r="11" spans="1:5">
      <c r="A11" s="295" t="s">
        <v>86</v>
      </c>
      <c r="B11" s="295">
        <f>+B12-B9-+B8-B7</f>
        <v>362</v>
      </c>
      <c r="C11" s="296">
        <f t="shared" si="2"/>
        <v>1.1165946946329426E-2</v>
      </c>
      <c r="D11" s="295">
        <f ca="1">+D12-D9-+D8-D7</f>
        <v>17523.751068256446</v>
      </c>
      <c r="E11" s="296">
        <f t="shared" ca="1" si="1"/>
        <v>0.22236591443084577</v>
      </c>
    </row>
    <row r="12" spans="1:5">
      <c r="A12" s="297" t="s">
        <v>365</v>
      </c>
      <c r="B12" s="297">
        <f>+B5</f>
        <v>32420</v>
      </c>
      <c r="C12" s="298">
        <f t="shared" si="2"/>
        <v>1</v>
      </c>
      <c r="D12" s="297">
        <f ca="1">+D5</f>
        <v>78805.922720256698</v>
      </c>
      <c r="E12" s="298">
        <f t="shared" ca="1" si="1"/>
        <v>1</v>
      </c>
    </row>
  </sheetData>
  <pageMargins left="0.7" right="0.7" top="0.75" bottom="0.75" header="0.3" footer="0.3"/>
  <pageSetup orientation="portrait" horizontalDpi="200" verticalDpi="200" r:id="rId1"/>
  <ignoredErrors>
    <ignoredError sqref="B8 D8:D9 B10" formulaRange="1"/>
    <ignoredError sqref="C5 C11: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DCF</vt:lpstr>
      <vt:lpstr>Unit Economics</vt:lpstr>
      <vt:lpstr>CashIn&amp;Out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icemancapital@gmail.com</dc:creator>
  <cp:lastPrinted>2022-11-15T03:07:25Z</cp:lastPrinted>
  <dcterms:created xsi:type="dcterms:W3CDTF">2019-08-26T13:22:05Z</dcterms:created>
  <dcterms:modified xsi:type="dcterms:W3CDTF">2023-04-20T21:04:16Z</dcterms:modified>
</cp:coreProperties>
</file>